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055" windowHeight="7905" firstSheet="10" activeTab="13"/>
  </bookViews>
  <sheets>
    <sheet name="Tabelle1" sheetId="1" r:id="rId1"/>
    <sheet name="BAB (2)" sheetId="4" r:id="rId2"/>
    <sheet name="Kuppelkalkulation" sheetId="3" r:id="rId3"/>
    <sheet name="Einkaufskalkulation" sheetId="5" r:id="rId4"/>
    <sheet name="Mountainbike A" sheetId="6" r:id="rId5"/>
    <sheet name="Handel" sheetId="7" r:id="rId6"/>
    <sheet name="Handel (2)" sheetId="8" r:id="rId7"/>
    <sheet name="Industrie" sheetId="10" r:id="rId8"/>
    <sheet name="Industrie (2)" sheetId="11" r:id="rId9"/>
    <sheet name="Kostenträgerzeitrechnung" sheetId="12" r:id="rId10"/>
    <sheet name="Tabelle4" sheetId="13" r:id="rId11"/>
    <sheet name="Direct Costing" sheetId="14" r:id="rId12"/>
    <sheet name="Fixkostendeckung" sheetId="15" r:id="rId13"/>
    <sheet name="VollTeil" sheetId="16" r:id="rId14"/>
  </sheets>
  <calcPr calcId="125725"/>
</workbook>
</file>

<file path=xl/calcChain.xml><?xml version="1.0" encoding="utf-8"?>
<calcChain xmlns="http://schemas.openxmlformats.org/spreadsheetml/2006/main">
  <c r="E18" i="16"/>
  <c r="D18"/>
  <c r="C18"/>
  <c r="C20" s="1"/>
  <c r="C22" s="1"/>
  <c r="E6"/>
  <c r="E7" s="1"/>
  <c r="D6"/>
  <c r="C6"/>
  <c r="C7" s="1"/>
  <c r="C13" i="15"/>
  <c r="C11"/>
  <c r="E10"/>
  <c r="C10"/>
  <c r="D8"/>
  <c r="E8"/>
  <c r="F8"/>
  <c r="C8"/>
  <c r="F6"/>
  <c r="E6"/>
  <c r="D6"/>
  <c r="C6"/>
  <c r="D6" i="14"/>
  <c r="E6"/>
  <c r="F6"/>
  <c r="C6"/>
  <c r="F5" i="13"/>
  <c r="F9" s="1"/>
  <c r="D9"/>
  <c r="E9"/>
  <c r="C9"/>
  <c r="G7"/>
  <c r="G5"/>
  <c r="C18" i="12"/>
  <c r="C16"/>
  <c r="C8"/>
  <c r="C5"/>
  <c r="G13" i="11"/>
  <c r="G8"/>
  <c r="G6"/>
  <c r="G2"/>
  <c r="G13" i="10"/>
  <c r="G8"/>
  <c r="G6"/>
  <c r="G2"/>
  <c r="C28" i="7"/>
  <c r="C19" i="8"/>
  <c r="C17"/>
  <c r="C13"/>
  <c r="C23" i="7"/>
  <c r="C24" s="1"/>
  <c r="C17"/>
  <c r="C13"/>
  <c r="C19"/>
  <c r="C18" i="6"/>
  <c r="C15"/>
  <c r="C10"/>
  <c r="C11" s="1"/>
  <c r="C21" i="5"/>
  <c r="C18"/>
  <c r="C15"/>
  <c r="C10"/>
  <c r="C11" s="1"/>
  <c r="C12" s="1"/>
  <c r="C7" i="3"/>
  <c r="C4"/>
  <c r="H20" i="4"/>
  <c r="F18"/>
  <c r="B13"/>
  <c r="B12"/>
  <c r="F7"/>
  <c r="F16"/>
  <c r="F15"/>
  <c r="F13"/>
  <c r="F12"/>
  <c r="F11"/>
  <c r="F10"/>
  <c r="F6"/>
  <c r="B17"/>
  <c r="I6"/>
  <c r="I7"/>
  <c r="I8"/>
  <c r="I9"/>
  <c r="I10"/>
  <c r="I11"/>
  <c r="I12"/>
  <c r="I13"/>
  <c r="I14"/>
  <c r="I15"/>
  <c r="I16"/>
  <c r="I5"/>
  <c r="H17"/>
  <c r="H19" s="1"/>
  <c r="H21" s="1"/>
  <c r="G17"/>
  <c r="G19" s="1"/>
  <c r="G21" s="1"/>
  <c r="F17"/>
  <c r="F19" s="1"/>
  <c r="F21" s="1"/>
  <c r="F29" s="1"/>
  <c r="E17"/>
  <c r="E19" s="1"/>
  <c r="E21" s="1"/>
  <c r="E24" s="1"/>
  <c r="C6" i="11" s="1"/>
  <c r="D17" i="4"/>
  <c r="D19" s="1"/>
  <c r="C17"/>
  <c r="C6" i="1"/>
  <c r="C7"/>
  <c r="C8"/>
  <c r="C9"/>
  <c r="C10"/>
  <c r="C11"/>
  <c r="C12"/>
  <c r="C13"/>
  <c r="C5"/>
  <c r="C7" i="10" l="1"/>
  <c r="C7" i="11"/>
  <c r="F33" i="4"/>
  <c r="G33" s="1"/>
  <c r="C6" i="10"/>
  <c r="E19" i="16"/>
  <c r="C19"/>
  <c r="D19"/>
  <c r="C8"/>
  <c r="D7"/>
  <c r="F7" i="14"/>
  <c r="F9" s="1"/>
  <c r="G9" i="13"/>
  <c r="G3" i="11"/>
  <c r="G4" s="1"/>
  <c r="G7"/>
  <c r="G3" i="10"/>
  <c r="G4" s="1"/>
  <c r="G9" s="1"/>
  <c r="G7"/>
  <c r="C14" i="8"/>
  <c r="C15" s="1"/>
  <c r="C25" i="7"/>
  <c r="C14"/>
  <c r="C15" s="1"/>
  <c r="C12" i="6"/>
  <c r="C14" s="1"/>
  <c r="C16" s="1"/>
  <c r="C19" s="1"/>
  <c r="C21" s="1"/>
  <c r="C16" i="5"/>
  <c r="C19" s="1"/>
  <c r="C14"/>
  <c r="C8" i="11" l="1"/>
  <c r="C8" i="10"/>
  <c r="H33" i="4"/>
  <c r="G9" i="11"/>
  <c r="G11" s="1"/>
  <c r="G11" i="10"/>
  <c r="C16" i="8"/>
  <c r="C18" s="1"/>
  <c r="C20" s="1"/>
  <c r="C22" s="1"/>
  <c r="C23" s="1"/>
  <c r="C26" i="7"/>
  <c r="C27" s="1"/>
  <c r="C16"/>
  <c r="C18" s="1"/>
  <c r="C20" s="1"/>
  <c r="C22" s="1"/>
  <c r="C9" i="11" l="1"/>
  <c r="G12" s="1"/>
  <c r="C9" i="10"/>
  <c r="G12" s="1"/>
  <c r="G14" i="11"/>
  <c r="G16" s="1"/>
  <c r="G17" s="1"/>
  <c r="G14" i="10"/>
  <c r="C24" i="8"/>
  <c r="C25" s="1"/>
  <c r="C26" s="1"/>
  <c r="C27" s="1"/>
  <c r="C28" s="1"/>
  <c r="C29" s="1"/>
  <c r="C29" i="7"/>
  <c r="G16" i="10" l="1"/>
  <c r="G17" s="1"/>
  <c r="G19" i="11"/>
  <c r="G20" s="1"/>
  <c r="C30" i="8"/>
  <c r="C31" s="1"/>
  <c r="C30" i="7"/>
  <c r="C31" s="1"/>
  <c r="G19" i="10" l="1"/>
  <c r="G20" s="1"/>
</calcChain>
</file>

<file path=xl/sharedStrings.xml><?xml version="1.0" encoding="utf-8"?>
<sst xmlns="http://schemas.openxmlformats.org/spreadsheetml/2006/main" count="275" uniqueCount="162">
  <si>
    <t>Materialkosten/Stück:</t>
  </si>
  <si>
    <t>Menge/Stück:</t>
  </si>
  <si>
    <t>Summe</t>
  </si>
  <si>
    <t>Vorkostenstellen</t>
  </si>
  <si>
    <t>Hauptkostenstellen</t>
  </si>
  <si>
    <t>Kostenart</t>
  </si>
  <si>
    <t>Schlosserei</t>
  </si>
  <si>
    <t>Druckerei</t>
  </si>
  <si>
    <t>Material</t>
  </si>
  <si>
    <t>Fertigung</t>
  </si>
  <si>
    <t>Verwaltung</t>
  </si>
  <si>
    <t>Vertrieb</t>
  </si>
  <si>
    <t>Gesamt</t>
  </si>
  <si>
    <t>Gehälter</t>
  </si>
  <si>
    <t>Gemeinkosten</t>
  </si>
  <si>
    <t>Instandhaltung</t>
  </si>
  <si>
    <t>Hilfs- u. Verbrauchsstoffe</t>
  </si>
  <si>
    <t>Kfz-Kosten</t>
  </si>
  <si>
    <t>Mietkosten</t>
  </si>
  <si>
    <t>Strom/Energiekosten</t>
  </si>
  <si>
    <t>Verwaltungskosten</t>
  </si>
  <si>
    <t>sonstige kosten</t>
  </si>
  <si>
    <t>Kalkulatorische Abschreibungen</t>
  </si>
  <si>
    <t>Kalkulatorische Zinsen</t>
  </si>
  <si>
    <t>sonst. kalk. Kosten</t>
  </si>
  <si>
    <t>Umlage Druckerei</t>
  </si>
  <si>
    <t>Umlage Schlosserei</t>
  </si>
  <si>
    <t>Gemeinkosten n. Umlage</t>
  </si>
  <si>
    <t>Betriebsabrechnungsbogen</t>
  </si>
  <si>
    <t>Monat:</t>
  </si>
  <si>
    <t>→</t>
  </si>
  <si>
    <t>Materialkosten:</t>
  </si>
  <si>
    <t xml:space="preserve"> =E21/E23</t>
  </si>
  <si>
    <t xml:space="preserve">Fertigungslöhne: </t>
  </si>
  <si>
    <t xml:space="preserve">Zuschlagssatz Materialgemeinkosten: </t>
  </si>
  <si>
    <t xml:space="preserve">Zuschlagssatz Fertigungsgemeinkosten: </t>
  </si>
  <si>
    <t xml:space="preserve"> =F21/F28</t>
  </si>
  <si>
    <t xml:space="preserve">Herstellkosten des Umsatzes: </t>
  </si>
  <si>
    <t xml:space="preserve"> =E23+E21+F28+F21</t>
  </si>
  <si>
    <t xml:space="preserve"> =G21/F33</t>
  </si>
  <si>
    <t xml:space="preserve"> =H21/F33</t>
  </si>
  <si>
    <t>Gesamtkosten</t>
  </si>
  <si>
    <t>Erlös Nebenprodukt</t>
  </si>
  <si>
    <t>Restkosten der Produktion</t>
  </si>
  <si>
    <t>Pressausbeute</t>
  </si>
  <si>
    <t>Liter</t>
  </si>
  <si>
    <t>Herstellkosten</t>
  </si>
  <si>
    <t xml:space="preserve">Produkt: </t>
  </si>
  <si>
    <t xml:space="preserve">Einheit: </t>
  </si>
  <si>
    <t xml:space="preserve">Preis/Einheit: </t>
  </si>
  <si>
    <t xml:space="preserve">Einkaufsmenge: </t>
  </si>
  <si>
    <t xml:space="preserve">Rabatt (%): </t>
  </si>
  <si>
    <t xml:space="preserve">Skonto (%): </t>
  </si>
  <si>
    <t xml:space="preserve">Einkaufspreis: </t>
  </si>
  <si>
    <t xml:space="preserve"> - Rabatt: </t>
  </si>
  <si>
    <t xml:space="preserve">Zieleinkaufspreis: </t>
  </si>
  <si>
    <t xml:space="preserve"> + Einkaufskosten: </t>
  </si>
  <si>
    <t xml:space="preserve">Bareinkaufspreis: </t>
  </si>
  <si>
    <t xml:space="preserve"> + Transportkosten: </t>
  </si>
  <si>
    <t xml:space="preserve">Einstandspreis: </t>
  </si>
  <si>
    <t xml:space="preserve">Einstandspreis/Einheit: </t>
  </si>
  <si>
    <t xml:space="preserve"> - Skonto: </t>
  </si>
  <si>
    <t xml:space="preserve">Einkaufskosten: </t>
  </si>
  <si>
    <t xml:space="preserve">Transportkosten: </t>
  </si>
  <si>
    <t>Mountainbike Alpenflieger</t>
  </si>
  <si>
    <t>1 Stück</t>
  </si>
  <si>
    <t xml:space="preserve">Verkaufseinheit: </t>
  </si>
  <si>
    <t xml:space="preserve">Handlungskostenzuschlag (%): </t>
  </si>
  <si>
    <t xml:space="preserve">Gewinnmarge(%): </t>
  </si>
  <si>
    <t xml:space="preserve">Kundenskonto(%): </t>
  </si>
  <si>
    <t xml:space="preserve">Kundenrabatt(%): </t>
  </si>
  <si>
    <t xml:space="preserve">Einstandspreis/Stück: </t>
  </si>
  <si>
    <t xml:space="preserve"> + Handlungskostenzuschlag: </t>
  </si>
  <si>
    <t xml:space="preserve">Selbstkosten: </t>
  </si>
  <si>
    <t xml:space="preserve"> + Gewinnzuschlag: </t>
  </si>
  <si>
    <t xml:space="preserve">Barverkaufspreis: </t>
  </si>
  <si>
    <t xml:space="preserve"> + Kundenskonto: </t>
  </si>
  <si>
    <t xml:space="preserve">Zielverkaufspreis: </t>
  </si>
  <si>
    <t xml:space="preserve"> + Kundenrabatt: </t>
  </si>
  <si>
    <t xml:space="preserve">Verkaufspreis: </t>
  </si>
  <si>
    <t>Luftpumpe  "Desert"</t>
  </si>
  <si>
    <t>1 Schachtel/8 Pumpen</t>
  </si>
  <si>
    <t>Zuschlagssätze</t>
  </si>
  <si>
    <t xml:space="preserve">Materialgemeinkkosten: </t>
  </si>
  <si>
    <t xml:space="preserve">Fertigungsgemeinkosten: </t>
  </si>
  <si>
    <t xml:space="preserve">Verwaltungsgemeinkosten: </t>
  </si>
  <si>
    <t xml:space="preserve">Gewinn: </t>
  </si>
  <si>
    <t xml:space="preserve">Merhwertsteuersatz: </t>
  </si>
  <si>
    <t xml:space="preserve">Vertriebsgemeinkosten: </t>
  </si>
  <si>
    <t>Fahrradanhänger "Moritz"</t>
  </si>
  <si>
    <t xml:space="preserve">Fertigungsmaterial: </t>
  </si>
  <si>
    <t xml:space="preserve">Sondereinzelkosten Vertrieb: </t>
  </si>
  <si>
    <t>Fertigungsmaterial:</t>
  </si>
  <si>
    <t xml:space="preserve">Materialkosten: </t>
  </si>
  <si>
    <t xml:space="preserve"> + Materialgemeinkosten: </t>
  </si>
  <si>
    <t xml:space="preserve"> + Fertigungslöhne: </t>
  </si>
  <si>
    <t xml:space="preserve"> + Fertigungsgemeinkosten: </t>
  </si>
  <si>
    <t xml:space="preserve"> + Sondereinzelkosten der Fertigung: </t>
  </si>
  <si>
    <t xml:space="preserve">Herstellkosten: </t>
  </si>
  <si>
    <t xml:space="preserve"> + Vewaltungsgemeinkosten: </t>
  </si>
  <si>
    <t xml:space="preserve"> + Vertriebsgemeinkosten: </t>
  </si>
  <si>
    <t xml:space="preserve"> + Sondereinzelkosten Vertrieb: </t>
  </si>
  <si>
    <t xml:space="preserve"> + Gewinn: </t>
  </si>
  <si>
    <t xml:space="preserve">Bar/Netto-Verkaufspreis: </t>
  </si>
  <si>
    <t xml:space="preserve"> + Mehrwertsteuer: </t>
  </si>
  <si>
    <t xml:space="preserve">Bruttoverkaufspreis: </t>
  </si>
  <si>
    <t xml:space="preserve">Sondereinzelkosten Fertigung: </t>
  </si>
  <si>
    <t>Verkaufserlöse der Abrechnungsperiode</t>
  </si>
  <si>
    <t xml:space="preserve"> - verrechnete Normalkosten</t>
  </si>
  <si>
    <t xml:space="preserve"> + Kostenüberdeckung der Abrechnungsperiode</t>
  </si>
  <si>
    <t xml:space="preserve"> - Kostenunterdeckung der Abrechnungsperiode</t>
  </si>
  <si>
    <t xml:space="preserve"> = Betriebsergebnis der Abrechnungsperiode</t>
  </si>
  <si>
    <t xml:space="preserve"> = Umsatzergbnis der Abrechnungsperiode</t>
  </si>
  <si>
    <t>Gesamtkostenverfahren</t>
  </si>
  <si>
    <t>Umsatzerlöse</t>
  </si>
  <si>
    <t xml:space="preserve"> +/- Bestandsveränderungen</t>
  </si>
  <si>
    <t xml:space="preserve"> + aktivierte Eigenleistungen</t>
  </si>
  <si>
    <t xml:space="preserve"> = Gesamtleistung (der Kostenträger)</t>
  </si>
  <si>
    <t xml:space="preserve"> - Gesamtkosten (der Kostenstellen)</t>
  </si>
  <si>
    <t xml:space="preserve"> = Betriebsergebnis</t>
  </si>
  <si>
    <t>Umsatzkostenverfahren</t>
  </si>
  <si>
    <t>Umsatzerlöse Kostenträger</t>
  </si>
  <si>
    <t>Mountainbike 1</t>
  </si>
  <si>
    <t>Mountainbike2</t>
  </si>
  <si>
    <t>Fahrradanhänger</t>
  </si>
  <si>
    <t>Fahrradzubehör</t>
  </si>
  <si>
    <t>Kosten</t>
  </si>
  <si>
    <t>Betriebsergebnis Kostenträger</t>
  </si>
  <si>
    <t>Produkt 1</t>
  </si>
  <si>
    <t>Produkt 2</t>
  </si>
  <si>
    <t>Produkt 3</t>
  </si>
  <si>
    <t>Produkt 4</t>
  </si>
  <si>
    <t xml:space="preserve">Umsatz </t>
  </si>
  <si>
    <t xml:space="preserve">variable Kosten </t>
  </si>
  <si>
    <t xml:space="preserve">Deckungsbeitrag </t>
  </si>
  <si>
    <t xml:space="preserve">Summe der Deskunngsbeiträge </t>
  </si>
  <si>
    <t xml:space="preserve">fixe Kosten </t>
  </si>
  <si>
    <t>Betriebsergebnis</t>
  </si>
  <si>
    <t xml:space="preserve">Betriebsergebnis </t>
  </si>
  <si>
    <t>Deckungsbeitrag I</t>
  </si>
  <si>
    <t>Produkt-Fixkosten</t>
  </si>
  <si>
    <t>Deckungsbeitrag II</t>
  </si>
  <si>
    <t>Prdouktgruppen-Fixkosten</t>
  </si>
  <si>
    <t>Deckungsbeitrag III</t>
  </si>
  <si>
    <t>Zusammenfassung DB III</t>
  </si>
  <si>
    <t>Unternehmens-Fixkosten</t>
  </si>
  <si>
    <t xml:space="preserve"> =SUMME(E8:F8)-E9</t>
  </si>
  <si>
    <t>Sonnenblumenöl</t>
  </si>
  <si>
    <t>Distelöl</t>
  </si>
  <si>
    <t>Rapsöl</t>
  </si>
  <si>
    <t xml:space="preserve"> - Kosten</t>
  </si>
  <si>
    <t xml:space="preserve"> = Erlöse des Kostenträgers</t>
  </si>
  <si>
    <t>Rang</t>
  </si>
  <si>
    <t xml:space="preserve"> =E4-E5</t>
  </si>
  <si>
    <t xml:space="preserve"> =SUMME(C6:E6)</t>
  </si>
  <si>
    <t xml:space="preserve"> =RANG(E6;$C$6:$E$6)</t>
  </si>
  <si>
    <t xml:space="preserve"> - variable Kosten</t>
  </si>
  <si>
    <t xml:space="preserve"> = Deckungsbeitrag</t>
  </si>
  <si>
    <t xml:space="preserve"> = Brutto-Betriebsergebnis</t>
  </si>
  <si>
    <t xml:space="preserve"> - fixe Kosten</t>
  </si>
  <si>
    <t xml:space="preserve"> = Nettobetriebsergebnis</t>
  </si>
  <si>
    <t xml:space="preserve">Mehrwertsteuersatz: 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</si>
</sst>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0.0%"/>
    <numFmt numFmtId="166" formatCode="#,##0_ ;\-#,##0\ "/>
    <numFmt numFmtId="167" formatCode="#,##0_ ;[Red]\-#,##0\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right"/>
    </xf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2" fillId="0" borderId="12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44" fontId="0" fillId="0" borderId="12" xfId="0" applyNumberFormat="1" applyBorder="1"/>
    <xf numFmtId="44" fontId="0" fillId="0" borderId="0" xfId="0" applyNumberFormat="1" applyBorder="1"/>
    <xf numFmtId="44" fontId="0" fillId="0" borderId="6" xfId="0" applyNumberFormat="1" applyBorder="1"/>
    <xf numFmtId="44" fontId="0" fillId="0" borderId="10" xfId="0" applyNumberFormat="1" applyBorder="1"/>
    <xf numFmtId="44" fontId="0" fillId="0" borderId="9" xfId="0" applyNumberFormat="1" applyBorder="1"/>
    <xf numFmtId="0" fontId="2" fillId="0" borderId="2" xfId="0" applyFont="1" applyBorder="1"/>
    <xf numFmtId="44" fontId="0" fillId="2" borderId="10" xfId="0" applyNumberFormat="1" applyFill="1" applyBorder="1"/>
    <xf numFmtId="44" fontId="0" fillId="2" borderId="12" xfId="0" applyNumberFormat="1" applyFill="1" applyBorder="1"/>
    <xf numFmtId="44" fontId="4" fillId="2" borderId="10" xfId="0" applyNumberFormat="1" applyFont="1" applyFill="1" applyBorder="1" applyAlignment="1">
      <alignment horizontal="center"/>
    </xf>
    <xf numFmtId="44" fontId="0" fillId="2" borderId="10" xfId="0" applyNumberFormat="1" applyFill="1" applyBorder="1" applyAlignment="1">
      <alignment horizontal="right"/>
    </xf>
    <xf numFmtId="44" fontId="0" fillId="0" borderId="0" xfId="0" applyNumberFormat="1"/>
    <xf numFmtId="44" fontId="0" fillId="0" borderId="0" xfId="0" applyNumberFormat="1" applyBorder="1" applyAlignment="1">
      <alignment horizontal="center"/>
    </xf>
    <xf numFmtId="17" fontId="0" fillId="0" borderId="8" xfId="0" applyNumberFormat="1" applyBorder="1"/>
    <xf numFmtId="0" fontId="0" fillId="0" borderId="0" xfId="0" applyBorder="1" applyAlignment="1">
      <alignment horizontal="right"/>
    </xf>
    <xf numFmtId="10" fontId="0" fillId="0" borderId="0" xfId="2" applyNumberFormat="1" applyFont="1" applyBorder="1"/>
    <xf numFmtId="10" fontId="0" fillId="0" borderId="0" xfId="2" applyNumberFormat="1" applyFont="1"/>
    <xf numFmtId="44" fontId="0" fillId="0" borderId="0" xfId="0" applyNumberFormat="1" applyBorder="1" applyAlignment="1">
      <alignment horizontal="right"/>
    </xf>
    <xf numFmtId="44" fontId="0" fillId="0" borderId="0" xfId="1" applyFont="1"/>
    <xf numFmtId="0" fontId="0" fillId="0" borderId="4" xfId="0" applyBorder="1"/>
    <xf numFmtId="44" fontId="0" fillId="0" borderId="4" xfId="1" applyFont="1" applyBorder="1"/>
    <xf numFmtId="0" fontId="0" fillId="3" borderId="0" xfId="0" applyFill="1"/>
    <xf numFmtId="0" fontId="0" fillId="3" borderId="4" xfId="0" applyFill="1" applyBorder="1"/>
    <xf numFmtId="0" fontId="0" fillId="3" borderId="5" xfId="0" applyFill="1" applyBorder="1"/>
    <xf numFmtId="0" fontId="0" fillId="3" borderId="18" xfId="0" applyFill="1" applyBorder="1" applyAlignment="1">
      <alignment horizontal="right"/>
    </xf>
    <xf numFmtId="0" fontId="0" fillId="3" borderId="0" xfId="0" applyFill="1" applyBorder="1"/>
    <xf numFmtId="0" fontId="0" fillId="3" borderId="6" xfId="0" applyFill="1" applyBorder="1"/>
    <xf numFmtId="0" fontId="0" fillId="3" borderId="0" xfId="0" applyFill="1" applyBorder="1" applyAlignment="1">
      <alignment horizontal="right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4" borderId="14" xfId="0" applyFill="1" applyBorder="1"/>
    <xf numFmtId="0" fontId="0" fillId="3" borderId="3" xfId="0" applyFill="1" applyBorder="1"/>
    <xf numFmtId="0" fontId="2" fillId="0" borderId="0" xfId="0" applyFont="1" applyAlignment="1">
      <alignment horizontal="right"/>
    </xf>
    <xf numFmtId="44" fontId="2" fillId="0" borderId="0" xfId="1" applyFont="1"/>
    <xf numFmtId="0" fontId="2" fillId="0" borderId="0" xfId="1" applyNumberFormat="1" applyFont="1"/>
    <xf numFmtId="0" fontId="0" fillId="3" borderId="0" xfId="0" applyFill="1" applyAlignment="1">
      <alignment horizontal="right"/>
    </xf>
    <xf numFmtId="0" fontId="0" fillId="0" borderId="0" xfId="0" applyBorder="1" applyAlignment="1">
      <alignment horizontal="center"/>
    </xf>
    <xf numFmtId="0" fontId="0" fillId="4" borderId="13" xfId="0" applyFill="1" applyBorder="1" applyProtection="1">
      <protection locked="0"/>
    </xf>
    <xf numFmtId="0" fontId="0" fillId="4" borderId="2" xfId="0" applyFill="1" applyBorder="1" applyProtection="1">
      <protection locked="0"/>
    </xf>
    <xf numFmtId="44" fontId="0" fillId="4" borderId="2" xfId="1" applyFont="1" applyFill="1" applyBorder="1" applyProtection="1">
      <protection locked="0"/>
    </xf>
    <xf numFmtId="3" fontId="0" fillId="4" borderId="2" xfId="0" applyNumberFormat="1" applyFill="1" applyBorder="1" applyProtection="1">
      <protection locked="0"/>
    </xf>
    <xf numFmtId="9" fontId="0" fillId="4" borderId="2" xfId="2" applyFont="1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3" borderId="12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8" xfId="0" applyFill="1" applyBorder="1" applyProtection="1">
      <protection locked="0"/>
    </xf>
    <xf numFmtId="0" fontId="0" fillId="0" borderId="0" xfId="0" applyFont="1" applyAlignment="1">
      <alignment horizontal="right"/>
    </xf>
    <xf numFmtId="0" fontId="0" fillId="0" borderId="0" xfId="0" applyFill="1"/>
    <xf numFmtId="0" fontId="0" fillId="0" borderId="0" xfId="0" applyBorder="1" applyAlignment="1">
      <alignment horizontal="center"/>
    </xf>
    <xf numFmtId="0" fontId="0" fillId="4" borderId="2" xfId="0" applyFill="1" applyBorder="1"/>
    <xf numFmtId="165" fontId="0" fillId="4" borderId="2" xfId="2" applyNumberFormat="1" applyFont="1" applyFill="1" applyBorder="1" applyProtection="1">
      <protection locked="0"/>
    </xf>
    <xf numFmtId="12" fontId="0" fillId="0" borderId="2" xfId="0" applyNumberFormat="1" applyBorder="1"/>
    <xf numFmtId="44" fontId="2" fillId="0" borderId="0" xfId="0" applyNumberFormat="1" applyFont="1"/>
    <xf numFmtId="0" fontId="2" fillId="0" borderId="0" xfId="0" applyFont="1"/>
    <xf numFmtId="44" fontId="0" fillId="0" borderId="0" xfId="0" applyNumberFormat="1" applyBorder="1" applyAlignment="1">
      <alignment horizontal="center"/>
    </xf>
    <xf numFmtId="44" fontId="0" fillId="0" borderId="10" xfId="1" applyFont="1" applyBorder="1" applyProtection="1">
      <protection locked="0"/>
    </xf>
    <xf numFmtId="44" fontId="0" fillId="0" borderId="2" xfId="1" applyFont="1" applyBorder="1" applyProtection="1">
      <protection locked="0"/>
    </xf>
    <xf numFmtId="0" fontId="0" fillId="5" borderId="0" xfId="0" applyFill="1"/>
    <xf numFmtId="0" fontId="2" fillId="5" borderId="0" xfId="0" applyFont="1" applyFill="1"/>
    <xf numFmtId="0" fontId="0" fillId="5" borderId="0" xfId="0" applyFill="1" applyAlignment="1">
      <alignment horizontal="right"/>
    </xf>
    <xf numFmtId="165" fontId="0" fillId="0" borderId="0" xfId="2" applyNumberFormat="1" applyFont="1" applyFill="1"/>
    <xf numFmtId="0" fontId="0" fillId="0" borderId="8" xfId="0" applyBorder="1" applyAlignment="1">
      <alignment horizontal="center"/>
    </xf>
    <xf numFmtId="44" fontId="0" fillId="0" borderId="0" xfId="1" applyFont="1" applyFill="1"/>
    <xf numFmtId="44" fontId="0" fillId="0" borderId="8" xfId="1" applyFont="1" applyBorder="1"/>
    <xf numFmtId="49" fontId="0" fillId="0" borderId="0" xfId="1" applyNumberFormat="1" applyFont="1"/>
    <xf numFmtId="0" fontId="2" fillId="0" borderId="0" xfId="0" applyFont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8" xfId="0" applyFont="1" applyBorder="1" applyAlignment="1">
      <alignment horizontal="center"/>
    </xf>
    <xf numFmtId="166" fontId="0" fillId="0" borderId="0" xfId="1" applyNumberFormat="1" applyFont="1"/>
    <xf numFmtId="166" fontId="0" fillId="0" borderId="8" xfId="1" applyNumberFormat="1" applyFont="1" applyBorder="1"/>
    <xf numFmtId="166" fontId="2" fillId="0" borderId="0" xfId="1" applyNumberFormat="1" applyFont="1"/>
    <xf numFmtId="166" fontId="0" fillId="0" borderId="0" xfId="0" applyNumberFormat="1"/>
    <xf numFmtId="0" fontId="0" fillId="0" borderId="8" xfId="0" applyFill="1" applyBorder="1" applyAlignment="1">
      <alignment horizontal="right"/>
    </xf>
    <xf numFmtId="167" fontId="0" fillId="0" borderId="8" xfId="1" applyNumberFormat="1" applyFont="1" applyBorder="1"/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/>
    <xf numFmtId="167" fontId="0" fillId="0" borderId="15" xfId="0" applyNumberFormat="1" applyBorder="1"/>
    <xf numFmtId="0" fontId="2" fillId="0" borderId="4" xfId="0" applyFont="1" applyBorder="1"/>
    <xf numFmtId="167" fontId="0" fillId="0" borderId="19" xfId="0" applyNumberFormat="1" applyBorder="1" applyAlignment="1">
      <alignment horizontal="center"/>
    </xf>
    <xf numFmtId="0" fontId="2" fillId="0" borderId="0" xfId="0" applyFont="1" applyFill="1" applyBorder="1"/>
    <xf numFmtId="0" fontId="0" fillId="0" borderId="8" xfId="0" applyFill="1" applyBorder="1"/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10" fontId="0" fillId="0" borderId="0" xfId="2" applyNumberFormat="1" applyFont="1" applyFill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4" fontId="0" fillId="0" borderId="16" xfId="0" applyNumberFormat="1" applyBorder="1" applyAlignment="1">
      <alignment horizontal="center"/>
    </xf>
    <xf numFmtId="44" fontId="0" fillId="0" borderId="17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166" fontId="2" fillId="0" borderId="4" xfId="1" applyNumberFormat="1" applyFon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166" fontId="0" fillId="0" borderId="4" xfId="1" applyNumberFormat="1" applyFont="1" applyBorder="1" applyAlignment="1">
      <alignment horizontal="center"/>
    </xf>
    <xf numFmtId="166" fontId="0" fillId="0" borderId="8" xfId="1" applyNumberFormat="1" applyFont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4" xfId="0" applyNumberFormat="1" applyFont="1" applyBorder="1" applyAlignment="1">
      <alignment horizontal="center"/>
    </xf>
    <xf numFmtId="167" fontId="0" fillId="0" borderId="4" xfId="0" applyNumberFormat="1" applyFon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0" fontId="0" fillId="0" borderId="0" xfId="0" applyBorder="1" applyAlignment="1"/>
    <xf numFmtId="44" fontId="0" fillId="0" borderId="0" xfId="0" applyNumberFormat="1" applyBorder="1" applyAlignment="1"/>
    <xf numFmtId="166" fontId="0" fillId="0" borderId="0" xfId="0" applyNumberFormat="1" applyBorder="1" applyAlignment="1">
      <alignment horizontal="center"/>
    </xf>
    <xf numFmtId="166" fontId="0" fillId="0" borderId="0" xfId="0" applyNumberFormat="1" applyBorder="1" applyAlignment="1"/>
    <xf numFmtId="167" fontId="0" fillId="0" borderId="0" xfId="0" applyNumberFormat="1" applyBorder="1" applyAlignment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608806</xdr:colOff>
      <xdr:row>24</xdr:row>
      <xdr:rowOff>794</xdr:rowOff>
    </xdr:from>
    <xdr:to>
      <xdr:col>4</xdr:col>
      <xdr:colOff>610394</xdr:colOff>
      <xdr:row>24</xdr:row>
      <xdr:rowOff>191294</xdr:rowOff>
    </xdr:to>
    <xdr:cxnSp macro="">
      <xdr:nvCxnSpPr>
        <xdr:cNvPr id="6" name="Gerade Verbindung mit Pfeil 5"/>
        <xdr:cNvCxnSpPr/>
      </xdr:nvCxnSpPr>
      <xdr:spPr>
        <a:xfrm rot="5400000" flipH="1" flipV="1">
          <a:off x="5057775" y="4714875"/>
          <a:ext cx="1905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570706</xdr:colOff>
      <xdr:row>29</xdr:row>
      <xdr:rowOff>10319</xdr:rowOff>
    </xdr:from>
    <xdr:to>
      <xdr:col>5</xdr:col>
      <xdr:colOff>572294</xdr:colOff>
      <xdr:row>30</xdr:row>
      <xdr:rowOff>794</xdr:rowOff>
    </xdr:to>
    <xdr:cxnSp macro="">
      <xdr:nvCxnSpPr>
        <xdr:cNvPr id="8" name="Gerade Verbindung mit Pfeil 7"/>
        <xdr:cNvCxnSpPr/>
      </xdr:nvCxnSpPr>
      <xdr:spPr>
        <a:xfrm rot="5400000" flipH="1" flipV="1">
          <a:off x="5867400" y="2647950"/>
          <a:ext cx="1905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828675</xdr:colOff>
      <xdr:row>33</xdr:row>
      <xdr:rowOff>19050</xdr:rowOff>
    </xdr:from>
    <xdr:to>
      <xdr:col>5</xdr:col>
      <xdr:colOff>361950</xdr:colOff>
      <xdr:row>33</xdr:row>
      <xdr:rowOff>180975</xdr:rowOff>
    </xdr:to>
    <xdr:cxnSp macro="">
      <xdr:nvCxnSpPr>
        <xdr:cNvPr id="10" name="Gerade Verbindung mit Pfeil 9"/>
        <xdr:cNvCxnSpPr/>
      </xdr:nvCxnSpPr>
      <xdr:spPr>
        <a:xfrm flipV="1">
          <a:off x="5372100" y="3343275"/>
          <a:ext cx="381000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637381</xdr:colOff>
      <xdr:row>33</xdr:row>
      <xdr:rowOff>19844</xdr:rowOff>
    </xdr:from>
    <xdr:to>
      <xdr:col>7</xdr:col>
      <xdr:colOff>638969</xdr:colOff>
      <xdr:row>36</xdr:row>
      <xdr:rowOff>10319</xdr:rowOff>
    </xdr:to>
    <xdr:cxnSp macro="">
      <xdr:nvCxnSpPr>
        <xdr:cNvPr id="12" name="Gerade Verbindung mit Pfeil 11"/>
        <xdr:cNvCxnSpPr/>
      </xdr:nvCxnSpPr>
      <xdr:spPr>
        <a:xfrm rot="5400000" flipH="1" flipV="1">
          <a:off x="7429500" y="3638550"/>
          <a:ext cx="5905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599281</xdr:colOff>
      <xdr:row>33</xdr:row>
      <xdr:rowOff>794</xdr:rowOff>
    </xdr:from>
    <xdr:to>
      <xdr:col>6</xdr:col>
      <xdr:colOff>600869</xdr:colOff>
      <xdr:row>34</xdr:row>
      <xdr:rowOff>181769</xdr:rowOff>
    </xdr:to>
    <xdr:cxnSp macro="">
      <xdr:nvCxnSpPr>
        <xdr:cNvPr id="14" name="Gerade Verbindung mit Pfeil 13"/>
        <xdr:cNvCxnSpPr/>
      </xdr:nvCxnSpPr>
      <xdr:spPr>
        <a:xfrm rot="5400000" flipH="1" flipV="1">
          <a:off x="6648450" y="3514725"/>
          <a:ext cx="381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138716</xdr:colOff>
      <xdr:row>9</xdr:row>
      <xdr:rowOff>152400</xdr:rowOff>
    </xdr:from>
    <xdr:to>
      <xdr:col>8</xdr:col>
      <xdr:colOff>19050</xdr:colOff>
      <xdr:row>20</xdr:row>
      <xdr:rowOff>131826</xdr:rowOff>
    </xdr:to>
    <xdr:pic>
      <xdr:nvPicPr>
        <xdr:cNvPr id="11" name="Grafik 10" descr="800px-Hardtail-mountain-bike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1566" y="1866900"/>
          <a:ext cx="3137884" cy="20749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5</xdr:row>
      <xdr:rowOff>123825</xdr:rowOff>
    </xdr:from>
    <xdr:to>
      <xdr:col>5</xdr:col>
      <xdr:colOff>752475</xdr:colOff>
      <xdr:row>5</xdr:row>
      <xdr:rowOff>125413</xdr:rowOff>
    </xdr:to>
    <xdr:cxnSp macro="">
      <xdr:nvCxnSpPr>
        <xdr:cNvPr id="3" name="Gerade Verbindung mit Pfeil 2"/>
        <xdr:cNvCxnSpPr/>
      </xdr:nvCxnSpPr>
      <xdr:spPr>
        <a:xfrm rot="10800000">
          <a:off x="5400675" y="1276350"/>
          <a:ext cx="7429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6</xdr:row>
      <xdr:rowOff>95250</xdr:rowOff>
    </xdr:from>
    <xdr:to>
      <xdr:col>5</xdr:col>
      <xdr:colOff>752475</xdr:colOff>
      <xdr:row>6</xdr:row>
      <xdr:rowOff>96838</xdr:rowOff>
    </xdr:to>
    <xdr:cxnSp macro="">
      <xdr:nvCxnSpPr>
        <xdr:cNvPr id="4" name="Gerade Verbindung mit Pfeil 3"/>
        <xdr:cNvCxnSpPr/>
      </xdr:nvCxnSpPr>
      <xdr:spPr>
        <a:xfrm rot="10800000">
          <a:off x="5400675" y="1447800"/>
          <a:ext cx="7429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7</xdr:row>
      <xdr:rowOff>95250</xdr:rowOff>
    </xdr:from>
    <xdr:to>
      <xdr:col>5</xdr:col>
      <xdr:colOff>752475</xdr:colOff>
      <xdr:row>7</xdr:row>
      <xdr:rowOff>96838</xdr:rowOff>
    </xdr:to>
    <xdr:cxnSp macro="">
      <xdr:nvCxnSpPr>
        <xdr:cNvPr id="5" name="Gerade Verbindung mit Pfeil 4"/>
        <xdr:cNvCxnSpPr/>
      </xdr:nvCxnSpPr>
      <xdr:spPr>
        <a:xfrm rot="10800000">
          <a:off x="5400675" y="1647825"/>
          <a:ext cx="7429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3"/>
  <sheetViews>
    <sheetView workbookViewId="0">
      <selection activeCell="B26" sqref="B26"/>
    </sheetView>
  </sheetViews>
  <sheetFormatPr baseColWidth="10" defaultRowHeight="15"/>
  <cols>
    <col min="2" max="2" width="21.7109375" customWidth="1"/>
    <col min="3" max="3" width="14.7109375" style="2" customWidth="1"/>
  </cols>
  <sheetData>
    <row r="2" spans="2:5">
      <c r="B2" s="1" t="s">
        <v>0</v>
      </c>
      <c r="C2" s="2">
        <v>1.17</v>
      </c>
    </row>
    <row r="4" spans="2:5">
      <c r="B4" s="3" t="s">
        <v>1</v>
      </c>
    </row>
    <row r="5" spans="2:5">
      <c r="B5">
        <v>1000</v>
      </c>
      <c r="C5" s="2">
        <f>$C$2*B5</f>
        <v>1170</v>
      </c>
      <c r="E5" s="104"/>
    </row>
    <row r="6" spans="2:5">
      <c r="B6">
        <v>1500</v>
      </c>
      <c r="C6" s="2">
        <f t="shared" ref="C6:C13" si="0">$C$2*B6</f>
        <v>1755</v>
      </c>
    </row>
    <row r="7" spans="2:5">
      <c r="B7">
        <v>2000</v>
      </c>
      <c r="C7" s="2">
        <f t="shared" si="0"/>
        <v>2340</v>
      </c>
    </row>
    <row r="8" spans="2:5">
      <c r="B8">
        <v>2500</v>
      </c>
      <c r="C8" s="2">
        <f t="shared" si="0"/>
        <v>2925</v>
      </c>
    </row>
    <row r="9" spans="2:5">
      <c r="B9">
        <v>3000</v>
      </c>
      <c r="C9" s="2">
        <f t="shared" si="0"/>
        <v>3510</v>
      </c>
    </row>
    <row r="10" spans="2:5">
      <c r="B10">
        <v>3500</v>
      </c>
      <c r="C10" s="2">
        <f t="shared" si="0"/>
        <v>4094.9999999999995</v>
      </c>
    </row>
    <row r="11" spans="2:5">
      <c r="B11">
        <v>4000</v>
      </c>
      <c r="C11" s="2">
        <f t="shared" si="0"/>
        <v>4680</v>
      </c>
    </row>
    <row r="12" spans="2:5">
      <c r="B12">
        <v>4500</v>
      </c>
      <c r="C12" s="2">
        <f t="shared" si="0"/>
        <v>5265</v>
      </c>
    </row>
    <row r="13" spans="2:5">
      <c r="B13">
        <v>5000</v>
      </c>
      <c r="C13" s="2">
        <f t="shared" si="0"/>
        <v>5850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E16" sqref="E16:F16"/>
    </sheetView>
  </sheetViews>
  <sheetFormatPr baseColWidth="10" defaultRowHeight="15"/>
  <cols>
    <col min="2" max="2" width="45.7109375" customWidth="1"/>
    <col min="3" max="3" width="14" style="31" customWidth="1"/>
  </cols>
  <sheetData>
    <row r="3" spans="2:6">
      <c r="B3" t="s">
        <v>107</v>
      </c>
      <c r="C3" s="31">
        <v>197530.25</v>
      </c>
    </row>
    <row r="4" spans="2:6">
      <c r="B4" s="6" t="s">
        <v>108</v>
      </c>
      <c r="C4" s="80">
        <v>118900.3</v>
      </c>
    </row>
    <row r="5" spans="2:6">
      <c r="B5" s="70" t="s">
        <v>112</v>
      </c>
      <c r="C5" s="31">
        <f>C3-C4</f>
        <v>78629.95</v>
      </c>
      <c r="E5" s="105"/>
    </row>
    <row r="6" spans="2:6">
      <c r="B6" t="s">
        <v>109</v>
      </c>
    </row>
    <row r="7" spans="2:6">
      <c r="B7" s="6" t="s">
        <v>110</v>
      </c>
      <c r="C7" s="80">
        <v>12003.17</v>
      </c>
    </row>
    <row r="8" spans="2:6">
      <c r="B8" s="70" t="s">
        <v>111</v>
      </c>
      <c r="C8" s="31">
        <f>C5+C6-C7</f>
        <v>66626.78</v>
      </c>
      <c r="E8" s="105"/>
    </row>
    <row r="11" spans="2:6">
      <c r="B11" s="70" t="s">
        <v>113</v>
      </c>
    </row>
    <row r="13" spans="2:6">
      <c r="B13" t="s">
        <v>114</v>
      </c>
      <c r="C13" s="31">
        <v>197530.25</v>
      </c>
    </row>
    <row r="14" spans="2:6">
      <c r="B14" t="s">
        <v>115</v>
      </c>
      <c r="C14" s="31">
        <v>5090</v>
      </c>
    </row>
    <row r="15" spans="2:6">
      <c r="B15" s="6" t="s">
        <v>116</v>
      </c>
      <c r="C15" s="80">
        <v>1207.1300000000001</v>
      </c>
    </row>
    <row r="16" spans="2:6">
      <c r="B16" s="70" t="s">
        <v>117</v>
      </c>
      <c r="C16" s="31">
        <f>SUM(C13:C15)</f>
        <v>203827.38</v>
      </c>
      <c r="E16" s="129"/>
      <c r="F16" s="129"/>
    </row>
    <row r="17" spans="2:5">
      <c r="B17" s="6" t="s">
        <v>118</v>
      </c>
      <c r="C17" s="80">
        <v>131009.05</v>
      </c>
    </row>
    <row r="18" spans="2:5">
      <c r="B18" s="70" t="s">
        <v>119</v>
      </c>
      <c r="C18" s="31">
        <f>C16-C17</f>
        <v>72818.33</v>
      </c>
      <c r="E18" s="105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2:J14"/>
  <sheetViews>
    <sheetView workbookViewId="0">
      <selection activeCell="C12" sqref="C12"/>
    </sheetView>
  </sheetViews>
  <sheetFormatPr baseColWidth="10" defaultRowHeight="15"/>
  <cols>
    <col min="1" max="1" width="6.140625" customWidth="1"/>
    <col min="2" max="2" width="15.85546875" customWidth="1"/>
    <col min="3" max="3" width="15.42578125" customWidth="1"/>
    <col min="4" max="4" width="15" customWidth="1"/>
    <col min="5" max="5" width="16.140625" customWidth="1"/>
    <col min="6" max="6" width="14.7109375" customWidth="1"/>
    <col min="7" max="7" width="13" bestFit="1" customWidth="1"/>
    <col min="8" max="8" width="9.140625" customWidth="1"/>
  </cols>
  <sheetData>
    <row r="2" spans="2:10">
      <c r="B2" s="70" t="s">
        <v>120</v>
      </c>
    </row>
    <row r="4" spans="2:10" ht="30">
      <c r="B4" s="83" t="s">
        <v>121</v>
      </c>
      <c r="C4" s="78" t="s">
        <v>122</v>
      </c>
      <c r="D4" s="78" t="s">
        <v>123</v>
      </c>
      <c r="E4" s="78" t="s">
        <v>124</v>
      </c>
      <c r="F4" s="78" t="s">
        <v>125</v>
      </c>
      <c r="G4" s="78" t="s">
        <v>12</v>
      </c>
    </row>
    <row r="5" spans="2:10">
      <c r="B5" s="31"/>
      <c r="C5" s="31">
        <v>58030.1</v>
      </c>
      <c r="D5" s="31">
        <v>77900.2</v>
      </c>
      <c r="E5" s="31">
        <v>45100.15</v>
      </c>
      <c r="F5" s="31">
        <f>20499.8+2297.13</f>
        <v>22796.93</v>
      </c>
      <c r="G5" s="31">
        <f>SUM(C5:F5)</f>
        <v>203827.37999999998</v>
      </c>
      <c r="H5" s="24"/>
      <c r="I5" s="129"/>
      <c r="J5" s="129"/>
    </row>
    <row r="6" spans="2:10">
      <c r="B6" s="31"/>
      <c r="C6" s="31"/>
      <c r="D6" s="31"/>
      <c r="E6" s="31"/>
      <c r="F6" s="31"/>
      <c r="G6" s="31"/>
    </row>
    <row r="7" spans="2:10">
      <c r="B7" s="81" t="s">
        <v>126</v>
      </c>
      <c r="C7" s="31">
        <v>39500.17</v>
      </c>
      <c r="D7" s="31">
        <v>58931.95</v>
      </c>
      <c r="E7" s="31">
        <v>23750.3</v>
      </c>
      <c r="F7" s="31">
        <v>9722.6299999999992</v>
      </c>
      <c r="G7" s="31">
        <f>SUM(C7:F7)</f>
        <v>131905.04999999999</v>
      </c>
      <c r="H7" s="24"/>
      <c r="I7" s="129"/>
      <c r="J7" s="129"/>
    </row>
    <row r="8" spans="2:10">
      <c r="B8" s="31"/>
      <c r="C8" s="31"/>
      <c r="D8" s="31"/>
      <c r="E8" s="31"/>
      <c r="F8" s="31"/>
      <c r="G8" s="31"/>
    </row>
    <row r="9" spans="2:10" ht="27.75" customHeight="1">
      <c r="B9" s="82" t="s">
        <v>127</v>
      </c>
      <c r="C9" s="47">
        <f>C5-C7</f>
        <v>18529.93</v>
      </c>
      <c r="D9" s="47">
        <f t="shared" ref="D9:G9" si="0">D5-D7</f>
        <v>18968.25</v>
      </c>
      <c r="E9" s="47">
        <f t="shared" si="0"/>
        <v>21349.850000000002</v>
      </c>
      <c r="F9" s="47">
        <f t="shared" si="0"/>
        <v>13074.300000000001</v>
      </c>
      <c r="G9" s="47">
        <f t="shared" si="0"/>
        <v>71922.329999999987</v>
      </c>
    </row>
    <row r="10" spans="2:10">
      <c r="B10" s="31"/>
      <c r="C10" s="31"/>
      <c r="D10" s="31"/>
      <c r="E10" s="31"/>
      <c r="F10" s="31"/>
      <c r="G10" s="31"/>
    </row>
    <row r="11" spans="2:10">
      <c r="B11" s="31"/>
      <c r="C11" s="31"/>
      <c r="D11" s="31"/>
      <c r="E11" s="31"/>
      <c r="F11" s="31"/>
      <c r="G11" s="31"/>
    </row>
    <row r="14" spans="2:10">
      <c r="C14" s="105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3:I12"/>
  <sheetViews>
    <sheetView workbookViewId="0">
      <selection activeCell="G10" sqref="G10"/>
    </sheetView>
  </sheetViews>
  <sheetFormatPr baseColWidth="10" defaultRowHeight="15"/>
  <cols>
    <col min="2" max="2" width="29.5703125" customWidth="1"/>
    <col min="3" max="3" width="13" customWidth="1"/>
    <col min="4" max="4" width="13.140625" customWidth="1"/>
    <col min="5" max="5" width="12.5703125" customWidth="1"/>
    <col min="6" max="6" width="12.7109375" customWidth="1"/>
  </cols>
  <sheetData>
    <row r="3" spans="2:9">
      <c r="B3" s="6"/>
      <c r="C3" s="87" t="s">
        <v>128</v>
      </c>
      <c r="D3" s="87" t="s">
        <v>129</v>
      </c>
      <c r="E3" s="87" t="s">
        <v>130</v>
      </c>
      <c r="F3" s="87" t="s">
        <v>131</v>
      </c>
    </row>
    <row r="4" spans="2:9">
      <c r="B4" s="1" t="s">
        <v>132</v>
      </c>
      <c r="C4" s="88">
        <v>54540</v>
      </c>
      <c r="D4" s="88">
        <v>76830</v>
      </c>
      <c r="E4" s="88">
        <v>21790</v>
      </c>
      <c r="F4" s="88">
        <v>103510</v>
      </c>
    </row>
    <row r="5" spans="2:9">
      <c r="B5" s="1" t="s">
        <v>133</v>
      </c>
      <c r="C5" s="88">
        <v>37920</v>
      </c>
      <c r="D5" s="88">
        <v>54910</v>
      </c>
      <c r="E5" s="88">
        <v>5900</v>
      </c>
      <c r="F5" s="88">
        <v>96900</v>
      </c>
    </row>
    <row r="6" spans="2:9">
      <c r="B6" s="1" t="s">
        <v>134</v>
      </c>
      <c r="C6" s="88">
        <f>C4-C5</f>
        <v>16620</v>
      </c>
      <c r="D6" s="88">
        <f t="shared" ref="D6:F6" si="0">D4-D5</f>
        <v>21920</v>
      </c>
      <c r="E6" s="88">
        <f t="shared" si="0"/>
        <v>15890</v>
      </c>
      <c r="F6" s="88">
        <f t="shared" si="0"/>
        <v>6610</v>
      </c>
      <c r="H6" s="130"/>
    </row>
    <row r="7" spans="2:9">
      <c r="B7" s="1" t="s">
        <v>135</v>
      </c>
      <c r="C7" s="88"/>
      <c r="D7" s="88"/>
      <c r="E7" s="88"/>
      <c r="F7" s="88">
        <f>SUM(C6:F6)</f>
        <v>61040</v>
      </c>
      <c r="H7" s="131"/>
      <c r="I7" s="131"/>
    </row>
    <row r="8" spans="2:9">
      <c r="B8" s="84" t="s">
        <v>136</v>
      </c>
      <c r="C8" s="89"/>
      <c r="D8" s="89"/>
      <c r="E8" s="89"/>
      <c r="F8" s="89">
        <v>41112</v>
      </c>
    </row>
    <row r="9" spans="2:9">
      <c r="B9" s="86" t="s">
        <v>138</v>
      </c>
      <c r="C9" s="88"/>
      <c r="D9" s="88"/>
      <c r="E9" s="88"/>
      <c r="F9" s="90">
        <f>F7-F8</f>
        <v>19928</v>
      </c>
    </row>
    <row r="12" spans="2:9">
      <c r="F12" s="130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3:I23"/>
  <sheetViews>
    <sheetView workbookViewId="0">
      <selection activeCell="H10" sqref="H10:I10"/>
    </sheetView>
  </sheetViews>
  <sheetFormatPr baseColWidth="10" defaultRowHeight="15"/>
  <cols>
    <col min="1" max="1" width="6.5703125" customWidth="1"/>
    <col min="2" max="2" width="24.42578125" customWidth="1"/>
    <col min="3" max="6" width="12.7109375" customWidth="1"/>
  </cols>
  <sheetData>
    <row r="3" spans="2:9">
      <c r="B3" s="6"/>
      <c r="C3" s="87" t="s">
        <v>128</v>
      </c>
      <c r="D3" s="87" t="s">
        <v>129</v>
      </c>
      <c r="E3" s="87" t="s">
        <v>130</v>
      </c>
      <c r="F3" s="87" t="s">
        <v>131</v>
      </c>
    </row>
    <row r="4" spans="2:9">
      <c r="B4" s="1" t="s">
        <v>132</v>
      </c>
      <c r="C4" s="88">
        <v>54540</v>
      </c>
      <c r="D4" s="88">
        <v>76830</v>
      </c>
      <c r="E4" s="88">
        <v>21790</v>
      </c>
      <c r="F4" s="88">
        <v>103510</v>
      </c>
    </row>
    <row r="5" spans="2:9">
      <c r="B5" s="1" t="s">
        <v>133</v>
      </c>
      <c r="C5" s="88">
        <v>37920</v>
      </c>
      <c r="D5" s="88">
        <v>54910</v>
      </c>
      <c r="E5" s="88">
        <v>5900</v>
      </c>
      <c r="F5" s="88">
        <v>96900</v>
      </c>
    </row>
    <row r="6" spans="2:9">
      <c r="B6" s="84" t="s">
        <v>139</v>
      </c>
      <c r="C6" s="89">
        <f>C4-C5</f>
        <v>16620</v>
      </c>
      <c r="D6" s="89">
        <f t="shared" ref="D6:F6" si="0">D4-D5</f>
        <v>21920</v>
      </c>
      <c r="E6" s="89">
        <f t="shared" si="0"/>
        <v>15890</v>
      </c>
      <c r="F6" s="89">
        <f t="shared" si="0"/>
        <v>6610</v>
      </c>
      <c r="H6" s="130"/>
    </row>
    <row r="7" spans="2:9">
      <c r="B7" s="85" t="s">
        <v>140</v>
      </c>
      <c r="C7" s="88">
        <v>4205</v>
      </c>
      <c r="D7" s="88">
        <v>5497</v>
      </c>
      <c r="E7" s="88">
        <v>1720</v>
      </c>
      <c r="F7" s="88">
        <v>6933</v>
      </c>
    </row>
    <row r="8" spans="2:9">
      <c r="B8" s="92" t="s">
        <v>141</v>
      </c>
      <c r="C8" s="93">
        <f>C6-C7</f>
        <v>12415</v>
      </c>
      <c r="D8" s="93">
        <f t="shared" ref="D8:F8" si="1">D6-D7</f>
        <v>16423</v>
      </c>
      <c r="E8" s="93">
        <f t="shared" si="1"/>
        <v>14170</v>
      </c>
      <c r="F8" s="93">
        <f t="shared" si="1"/>
        <v>-323</v>
      </c>
      <c r="H8" s="130"/>
    </row>
    <row r="9" spans="2:9">
      <c r="B9" s="85" t="s">
        <v>142</v>
      </c>
      <c r="C9" s="122">
        <v>9701</v>
      </c>
      <c r="D9" s="122"/>
      <c r="E9" s="122">
        <v>6197</v>
      </c>
      <c r="F9" s="122"/>
    </row>
    <row r="10" spans="2:9">
      <c r="B10" s="92" t="s">
        <v>143</v>
      </c>
      <c r="C10" s="123">
        <f>SUM(C8:D8)-C9</f>
        <v>19137</v>
      </c>
      <c r="D10" s="123"/>
      <c r="E10" s="123">
        <f>SUM(E8:F8)-E9</f>
        <v>7650</v>
      </c>
      <c r="F10" s="123"/>
      <c r="H10" s="132" t="s">
        <v>146</v>
      </c>
      <c r="I10" s="132"/>
    </row>
    <row r="11" spans="2:9">
      <c r="B11" s="85" t="s">
        <v>144</v>
      </c>
      <c r="C11" s="122">
        <f>C10+E10</f>
        <v>26787</v>
      </c>
      <c r="D11" s="122"/>
      <c r="E11" s="122"/>
      <c r="F11" s="122"/>
      <c r="H11" s="130"/>
    </row>
    <row r="12" spans="2:9">
      <c r="B12" s="92" t="s">
        <v>145</v>
      </c>
      <c r="C12" s="123">
        <v>6859</v>
      </c>
      <c r="D12" s="123"/>
      <c r="E12" s="123"/>
      <c r="F12" s="123"/>
    </row>
    <row r="13" spans="2:9">
      <c r="B13" s="86" t="s">
        <v>137</v>
      </c>
      <c r="C13" s="119">
        <f>C11-C12</f>
        <v>19928</v>
      </c>
      <c r="D13" s="119"/>
      <c r="E13" s="119"/>
      <c r="F13" s="119"/>
      <c r="H13" s="130"/>
    </row>
    <row r="14" spans="2:9">
      <c r="C14" s="88"/>
      <c r="D14" s="88"/>
      <c r="E14" s="88"/>
      <c r="F14" s="88"/>
    </row>
    <row r="23" spans="8:8">
      <c r="H23" s="91"/>
    </row>
  </sheetData>
  <mergeCells count="7">
    <mergeCell ref="C13:F13"/>
    <mergeCell ref="C9:D9"/>
    <mergeCell ref="E9:F9"/>
    <mergeCell ref="C10:D10"/>
    <mergeCell ref="E10:F10"/>
    <mergeCell ref="C11:F11"/>
    <mergeCell ref="C12:F12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3:H22"/>
  <sheetViews>
    <sheetView tabSelected="1" topLeftCell="A13" workbookViewId="0">
      <selection activeCell="C18" sqref="C18"/>
    </sheetView>
  </sheetViews>
  <sheetFormatPr baseColWidth="10" defaultRowHeight="15"/>
  <cols>
    <col min="1" max="1" width="5.42578125" customWidth="1"/>
    <col min="2" max="2" width="25.28515625" customWidth="1"/>
    <col min="3" max="5" width="14.7109375" customWidth="1"/>
  </cols>
  <sheetData>
    <row r="3" spans="2:8" s="96" customFormat="1" ht="30">
      <c r="B3" s="97"/>
      <c r="C3" s="97" t="s">
        <v>147</v>
      </c>
      <c r="D3" s="97" t="s">
        <v>148</v>
      </c>
      <c r="E3" s="97" t="s">
        <v>149</v>
      </c>
    </row>
    <row r="4" spans="2:8">
      <c r="B4" t="s">
        <v>114</v>
      </c>
      <c r="C4" s="94">
        <v>730000</v>
      </c>
      <c r="D4" s="94">
        <v>375000</v>
      </c>
      <c r="E4" s="94">
        <v>620000</v>
      </c>
    </row>
    <row r="5" spans="2:8" ht="15.75" thickBot="1">
      <c r="B5" t="s">
        <v>150</v>
      </c>
      <c r="C5" s="94">
        <v>749000</v>
      </c>
      <c r="D5" s="94">
        <v>307430</v>
      </c>
      <c r="E5" s="94">
        <v>607000</v>
      </c>
    </row>
    <row r="6" spans="2:8" ht="15.75" thickBot="1">
      <c r="B6" s="98" t="s">
        <v>151</v>
      </c>
      <c r="C6" s="99">
        <f>C4-C5</f>
        <v>-19000</v>
      </c>
      <c r="D6" s="99">
        <f>D4-D5</f>
        <v>67570</v>
      </c>
      <c r="E6" s="99">
        <f>E4-E5</f>
        <v>13000</v>
      </c>
      <c r="G6" s="101" t="s">
        <v>153</v>
      </c>
    </row>
    <row r="7" spans="2:8" ht="15.75" thickBot="1">
      <c r="B7" t="s">
        <v>152</v>
      </c>
      <c r="C7" s="95">
        <f>RANK(C6,$C$6:$E$6)</f>
        <v>3</v>
      </c>
      <c r="D7" s="95">
        <f t="shared" ref="D7:E7" si="0">RANK(D6,$C$6:$E$6)</f>
        <v>1</v>
      </c>
      <c r="E7" s="95">
        <f t="shared" si="0"/>
        <v>2</v>
      </c>
      <c r="G7" s="115" t="s">
        <v>155</v>
      </c>
      <c r="H7" s="116"/>
    </row>
    <row r="8" spans="2:8" ht="15.75" thickBot="1">
      <c r="B8" s="100" t="s">
        <v>119</v>
      </c>
      <c r="C8" s="125">
        <f>SUM(C6:E6)</f>
        <v>61570</v>
      </c>
      <c r="D8" s="125"/>
      <c r="E8" s="125"/>
      <c r="G8" s="120" t="s">
        <v>154</v>
      </c>
      <c r="H8" s="121"/>
    </row>
    <row r="15" spans="2:8" ht="30">
      <c r="B15" s="97"/>
      <c r="C15" s="97" t="s">
        <v>147</v>
      </c>
      <c r="D15" s="97" t="s">
        <v>148</v>
      </c>
      <c r="E15" s="97" t="s">
        <v>149</v>
      </c>
    </row>
    <row r="16" spans="2:8">
      <c r="B16" t="s">
        <v>114</v>
      </c>
      <c r="C16" s="94">
        <v>730000</v>
      </c>
      <c r="D16" s="94">
        <v>375000</v>
      </c>
      <c r="E16" s="94">
        <v>620000</v>
      </c>
    </row>
    <row r="17" spans="2:7">
      <c r="B17" t="s">
        <v>156</v>
      </c>
      <c r="C17" s="94">
        <v>679000</v>
      </c>
      <c r="D17" s="94">
        <v>305000</v>
      </c>
      <c r="E17" s="94">
        <v>602500</v>
      </c>
      <c r="F17" s="94"/>
      <c r="G17" s="94"/>
    </row>
    <row r="18" spans="2:7">
      <c r="B18" s="98" t="s">
        <v>157</v>
      </c>
      <c r="C18" s="99">
        <f>C16-C17</f>
        <v>51000</v>
      </c>
      <c r="D18" s="99">
        <f>D16-D17</f>
        <v>70000</v>
      </c>
      <c r="E18" s="99">
        <f>E16-E17</f>
        <v>17500</v>
      </c>
    </row>
    <row r="19" spans="2:7">
      <c r="B19" t="s">
        <v>152</v>
      </c>
      <c r="C19" s="95">
        <f>RANK(C18,$C$18:$E$18)</f>
        <v>2</v>
      </c>
      <c r="D19" s="95">
        <f t="shared" ref="D19:E19" si="1">RANK(D18,$C$18:$E$18)</f>
        <v>1</v>
      </c>
      <c r="E19" s="95">
        <f t="shared" si="1"/>
        <v>3</v>
      </c>
    </row>
    <row r="20" spans="2:7">
      <c r="B20" s="32" t="s">
        <v>158</v>
      </c>
      <c r="C20" s="126">
        <f>SUM(C18:E18)</f>
        <v>138500</v>
      </c>
      <c r="D20" s="126"/>
      <c r="E20" s="126"/>
    </row>
    <row r="21" spans="2:7">
      <c r="B21" s="103" t="s">
        <v>159</v>
      </c>
      <c r="C21" s="127">
        <v>76930</v>
      </c>
      <c r="D21" s="127"/>
      <c r="E21" s="127"/>
    </row>
    <row r="22" spans="2:7">
      <c r="B22" s="102" t="s">
        <v>160</v>
      </c>
      <c r="C22" s="124">
        <f>C20-C21</f>
        <v>61570</v>
      </c>
      <c r="D22" s="124"/>
      <c r="E22" s="124"/>
    </row>
  </sheetData>
  <mergeCells count="6">
    <mergeCell ref="C22:E22"/>
    <mergeCell ref="C8:E8"/>
    <mergeCell ref="G8:H8"/>
    <mergeCell ref="G7:H7"/>
    <mergeCell ref="C20:E20"/>
    <mergeCell ref="C21:E2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opLeftCell="A16" workbookViewId="0">
      <selection activeCell="A4" sqref="A4:XFD21"/>
    </sheetView>
  </sheetViews>
  <sheetFormatPr baseColWidth="10" defaultRowHeight="15"/>
  <cols>
    <col min="1" max="1" width="30" customWidth="1"/>
    <col min="2" max="8" width="12.7109375" customWidth="1"/>
  </cols>
  <sheetData>
    <row r="1" spans="1:9" ht="18.75">
      <c r="A1" s="110" t="s">
        <v>28</v>
      </c>
      <c r="B1" s="111"/>
      <c r="C1" s="111"/>
      <c r="D1" s="111"/>
      <c r="E1" s="111"/>
      <c r="F1" s="111"/>
      <c r="G1" s="111"/>
      <c r="H1" s="112"/>
    </row>
    <row r="2" spans="1:9">
      <c r="A2" s="8" t="s">
        <v>29</v>
      </c>
      <c r="B2" s="26">
        <v>39814</v>
      </c>
      <c r="C2" s="6"/>
      <c r="D2" s="6"/>
      <c r="E2" s="6"/>
      <c r="F2" s="6"/>
      <c r="G2" s="6"/>
      <c r="H2" s="7"/>
    </row>
    <row r="3" spans="1:9">
      <c r="A3" s="9"/>
      <c r="B3" s="19" t="s">
        <v>2</v>
      </c>
      <c r="C3" s="107" t="s">
        <v>3</v>
      </c>
      <c r="D3" s="108"/>
      <c r="E3" s="109" t="s">
        <v>4</v>
      </c>
      <c r="F3" s="109"/>
      <c r="G3" s="109"/>
      <c r="H3" s="108"/>
    </row>
    <row r="4" spans="1:9">
      <c r="A4" s="10" t="s">
        <v>5</v>
      </c>
      <c r="B4" s="10" t="s">
        <v>12</v>
      </c>
      <c r="C4" s="10" t="s">
        <v>6</v>
      </c>
      <c r="D4" s="10" t="s">
        <v>7</v>
      </c>
      <c r="E4" s="10" t="s">
        <v>8</v>
      </c>
      <c r="F4" s="10" t="s">
        <v>9</v>
      </c>
      <c r="G4" s="7" t="s">
        <v>10</v>
      </c>
      <c r="H4" s="7" t="s">
        <v>11</v>
      </c>
    </row>
    <row r="5" spans="1:9">
      <c r="A5" s="11" t="s">
        <v>13</v>
      </c>
      <c r="B5" s="14">
        <v>14053</v>
      </c>
      <c r="C5" s="14">
        <v>2533</v>
      </c>
      <c r="D5" s="14">
        <v>2460</v>
      </c>
      <c r="E5" s="14">
        <v>2703</v>
      </c>
      <c r="F5" s="14"/>
      <c r="G5" s="16">
        <v>2407</v>
      </c>
      <c r="H5" s="16">
        <v>3950</v>
      </c>
      <c r="I5" s="24" t="str">
        <f>IF((SUM(C5:H5)-B5)=0,"",SUM(C5:H5)-B5)</f>
        <v/>
      </c>
    </row>
    <row r="6" spans="1:9">
      <c r="A6" s="11" t="s">
        <v>14</v>
      </c>
      <c r="B6" s="14">
        <v>5029</v>
      </c>
      <c r="C6" s="14">
        <v>907</v>
      </c>
      <c r="D6" s="14">
        <v>303</v>
      </c>
      <c r="E6" s="14"/>
      <c r="F6" s="14">
        <f>1799+2020</f>
        <v>3819</v>
      </c>
      <c r="G6" s="16"/>
      <c r="H6" s="16"/>
      <c r="I6" s="24" t="str">
        <f t="shared" ref="I6:I16" si="0">IF((SUM(C6:H6)-B6)=0,"",SUM(C6:H6)-B6)</f>
        <v/>
      </c>
    </row>
    <row r="7" spans="1:9">
      <c r="A7" s="11" t="s">
        <v>16</v>
      </c>
      <c r="B7" s="14">
        <v>2566</v>
      </c>
      <c r="C7" s="14">
        <v>450</v>
      </c>
      <c r="D7" s="14">
        <v>291</v>
      </c>
      <c r="E7" s="14">
        <v>45</v>
      </c>
      <c r="F7" s="14">
        <f>560+1220</f>
        <v>1780</v>
      </c>
      <c r="G7" s="16"/>
      <c r="H7" s="16"/>
      <c r="I7" s="24" t="str">
        <f t="shared" si="0"/>
        <v/>
      </c>
    </row>
    <row r="8" spans="1:9">
      <c r="A8" s="11" t="s">
        <v>15</v>
      </c>
      <c r="B8" s="14">
        <v>732</v>
      </c>
      <c r="C8" s="14"/>
      <c r="D8" s="14">
        <v>195</v>
      </c>
      <c r="E8" s="14"/>
      <c r="F8" s="14"/>
      <c r="G8" s="16">
        <v>172</v>
      </c>
      <c r="H8" s="16">
        <v>365</v>
      </c>
      <c r="I8" s="24" t="str">
        <f t="shared" si="0"/>
        <v/>
      </c>
    </row>
    <row r="9" spans="1:9">
      <c r="A9" s="11" t="s">
        <v>17</v>
      </c>
      <c r="B9" s="14">
        <v>1582</v>
      </c>
      <c r="C9" s="14">
        <v>255</v>
      </c>
      <c r="D9" s="14">
        <v>165</v>
      </c>
      <c r="E9" s="14"/>
      <c r="F9" s="14"/>
      <c r="G9" s="16">
        <v>175</v>
      </c>
      <c r="H9" s="16">
        <v>987</v>
      </c>
      <c r="I9" s="24" t="str">
        <f t="shared" si="0"/>
        <v/>
      </c>
    </row>
    <row r="10" spans="1:9">
      <c r="A10" s="11" t="s">
        <v>18</v>
      </c>
      <c r="B10" s="14">
        <v>2849</v>
      </c>
      <c r="C10" s="14">
        <v>175</v>
      </c>
      <c r="D10" s="14">
        <v>140</v>
      </c>
      <c r="E10" s="14">
        <v>343</v>
      </c>
      <c r="F10" s="14">
        <f>651+785</f>
        <v>1436</v>
      </c>
      <c r="G10" s="16">
        <v>478</v>
      </c>
      <c r="H10" s="16">
        <v>277</v>
      </c>
      <c r="I10" s="24" t="str">
        <f t="shared" si="0"/>
        <v/>
      </c>
    </row>
    <row r="11" spans="1:9">
      <c r="A11" s="11" t="s">
        <v>19</v>
      </c>
      <c r="B11" s="14">
        <v>1709</v>
      </c>
      <c r="C11" s="14">
        <v>45</v>
      </c>
      <c r="D11" s="14">
        <v>80</v>
      </c>
      <c r="E11" s="14">
        <v>112</v>
      </c>
      <c r="F11" s="14">
        <f>560+678</f>
        <v>1238</v>
      </c>
      <c r="G11" s="16">
        <v>133</v>
      </c>
      <c r="H11" s="16">
        <v>101</v>
      </c>
      <c r="I11" s="24" t="str">
        <f t="shared" si="0"/>
        <v/>
      </c>
    </row>
    <row r="12" spans="1:9">
      <c r="A12" s="11" t="s">
        <v>20</v>
      </c>
      <c r="B12" s="14">
        <f>1531+90</f>
        <v>1621</v>
      </c>
      <c r="C12" s="14">
        <v>35</v>
      </c>
      <c r="D12" s="14">
        <v>93</v>
      </c>
      <c r="E12" s="14">
        <v>176</v>
      </c>
      <c r="F12" s="14">
        <f>75+89</f>
        <v>164</v>
      </c>
      <c r="G12" s="16">
        <v>703</v>
      </c>
      <c r="H12" s="16">
        <v>450</v>
      </c>
      <c r="I12" s="24" t="str">
        <f t="shared" si="0"/>
        <v/>
      </c>
    </row>
    <row r="13" spans="1:9">
      <c r="A13" s="11" t="s">
        <v>21</v>
      </c>
      <c r="B13" s="14">
        <f>1264+74</f>
        <v>1338</v>
      </c>
      <c r="C13" s="14">
        <v>33</v>
      </c>
      <c r="D13" s="14">
        <v>77</v>
      </c>
      <c r="E13" s="14">
        <v>66</v>
      </c>
      <c r="F13" s="14">
        <f>55+54</f>
        <v>109</v>
      </c>
      <c r="G13" s="16">
        <v>567</v>
      </c>
      <c r="H13" s="16">
        <v>486</v>
      </c>
      <c r="I13" s="24" t="str">
        <f t="shared" si="0"/>
        <v/>
      </c>
    </row>
    <row r="14" spans="1:9">
      <c r="A14" s="11" t="s">
        <v>22</v>
      </c>
      <c r="B14" s="14">
        <v>1400</v>
      </c>
      <c r="C14" s="14">
        <v>640</v>
      </c>
      <c r="D14" s="14">
        <v>760</v>
      </c>
      <c r="E14" s="14"/>
      <c r="F14" s="14"/>
      <c r="G14" s="16"/>
      <c r="H14" s="16"/>
      <c r="I14" s="24" t="str">
        <f t="shared" si="0"/>
        <v/>
      </c>
    </row>
    <row r="15" spans="1:9">
      <c r="A15" s="11" t="s">
        <v>23</v>
      </c>
      <c r="B15" s="17">
        <v>4678</v>
      </c>
      <c r="C15" s="14">
        <v>240</v>
      </c>
      <c r="D15" s="14">
        <v>266</v>
      </c>
      <c r="E15" s="14">
        <v>743</v>
      </c>
      <c r="F15" s="14">
        <f>775+750</f>
        <v>1525</v>
      </c>
      <c r="G15" s="16">
        <v>34</v>
      </c>
      <c r="H15" s="16">
        <v>1870</v>
      </c>
      <c r="I15" s="24" t="str">
        <f t="shared" si="0"/>
        <v/>
      </c>
    </row>
    <row r="16" spans="1:9">
      <c r="A16" s="10" t="s">
        <v>24</v>
      </c>
      <c r="B16" s="17">
        <v>12639</v>
      </c>
      <c r="C16" s="17">
        <v>181</v>
      </c>
      <c r="D16" s="17">
        <v>183</v>
      </c>
      <c r="E16" s="17">
        <v>29</v>
      </c>
      <c r="F16" s="17">
        <f>620+601</f>
        <v>1221</v>
      </c>
      <c r="G16" s="18">
        <v>8375</v>
      </c>
      <c r="H16" s="18">
        <v>2650</v>
      </c>
      <c r="I16" s="24" t="str">
        <f t="shared" si="0"/>
        <v/>
      </c>
    </row>
    <row r="17" spans="1:9">
      <c r="A17" s="12" t="s">
        <v>2</v>
      </c>
      <c r="B17" s="14">
        <f>SUM(B5:B16)</f>
        <v>50196</v>
      </c>
      <c r="C17" s="14">
        <f t="shared" ref="C17:H17" si="1">SUM(C5:C16)</f>
        <v>5494</v>
      </c>
      <c r="D17" s="14">
        <f t="shared" si="1"/>
        <v>5013</v>
      </c>
      <c r="E17" s="14">
        <f t="shared" si="1"/>
        <v>4217</v>
      </c>
      <c r="F17" s="14">
        <f t="shared" si="1"/>
        <v>11292</v>
      </c>
      <c r="G17" s="14">
        <f t="shared" si="1"/>
        <v>13044</v>
      </c>
      <c r="H17" s="14">
        <f t="shared" si="1"/>
        <v>11136</v>
      </c>
    </row>
    <row r="18" spans="1:9">
      <c r="A18" s="10" t="s">
        <v>26</v>
      </c>
      <c r="B18" s="20"/>
      <c r="C18" s="22" t="s">
        <v>30</v>
      </c>
      <c r="D18" s="17">
        <v>306</v>
      </c>
      <c r="E18" s="17">
        <v>612</v>
      </c>
      <c r="F18" s="17">
        <f>2474+1005</f>
        <v>3479</v>
      </c>
      <c r="G18" s="18">
        <v>612</v>
      </c>
      <c r="H18" s="18">
        <v>485</v>
      </c>
      <c r="I18" s="24"/>
    </row>
    <row r="19" spans="1:9">
      <c r="A19" s="12" t="s">
        <v>2</v>
      </c>
      <c r="B19" s="21"/>
      <c r="C19" s="21"/>
      <c r="D19" s="14">
        <f>D17+D18</f>
        <v>5319</v>
      </c>
      <c r="E19" s="14">
        <f t="shared" ref="E19:H19" si="2">E17+E18</f>
        <v>4829</v>
      </c>
      <c r="F19" s="14">
        <f t="shared" si="2"/>
        <v>14771</v>
      </c>
      <c r="G19" s="14">
        <f t="shared" si="2"/>
        <v>13656</v>
      </c>
      <c r="H19" s="14">
        <f t="shared" si="2"/>
        <v>11621</v>
      </c>
    </row>
    <row r="20" spans="1:9">
      <c r="A20" s="10" t="s">
        <v>25</v>
      </c>
      <c r="B20" s="20"/>
      <c r="C20" s="20"/>
      <c r="D20" s="22" t="s">
        <v>30</v>
      </c>
      <c r="E20" s="17">
        <v>313</v>
      </c>
      <c r="F20" s="17"/>
      <c r="G20" s="18">
        <v>2194</v>
      </c>
      <c r="H20" s="18">
        <f>3761-949</f>
        <v>2812</v>
      </c>
      <c r="I20" s="24"/>
    </row>
    <row r="21" spans="1:9">
      <c r="A21" s="13" t="s">
        <v>27</v>
      </c>
      <c r="B21" s="20"/>
      <c r="C21" s="20"/>
      <c r="D21" s="23"/>
      <c r="E21" s="17">
        <f>E19+E20</f>
        <v>5142</v>
      </c>
      <c r="F21" s="17">
        <f t="shared" ref="F21:H21" si="3">F19+F20</f>
        <v>14771</v>
      </c>
      <c r="G21" s="17">
        <f t="shared" si="3"/>
        <v>15850</v>
      </c>
      <c r="H21" s="17">
        <f t="shared" si="3"/>
        <v>14433</v>
      </c>
    </row>
    <row r="23" spans="1:9">
      <c r="B23" s="25"/>
      <c r="C23" s="25"/>
      <c r="D23" s="27" t="s">
        <v>31</v>
      </c>
      <c r="E23" s="15">
        <v>53230</v>
      </c>
      <c r="F23" s="5"/>
    </row>
    <row r="24" spans="1:9">
      <c r="B24" s="5"/>
      <c r="C24" s="5"/>
      <c r="D24" s="30" t="s">
        <v>34</v>
      </c>
      <c r="E24" s="28">
        <f>E21/E23</f>
        <v>9.6599661844824353E-2</v>
      </c>
    </row>
    <row r="25" spans="1:9" ht="15.75" thickBot="1">
      <c r="D25" s="5"/>
      <c r="E25" s="25"/>
      <c r="F25" s="5"/>
    </row>
    <row r="26" spans="1:9" ht="15.75" thickBot="1">
      <c r="E26" s="4" t="s">
        <v>32</v>
      </c>
    </row>
    <row r="28" spans="1:9">
      <c r="E28" s="1" t="s">
        <v>33</v>
      </c>
      <c r="F28" s="15">
        <v>8754</v>
      </c>
    </row>
    <row r="29" spans="1:9">
      <c r="E29" s="1" t="s">
        <v>35</v>
      </c>
      <c r="F29" s="29">
        <f>F21/F28</f>
        <v>1.6873429289467672</v>
      </c>
    </row>
    <row r="30" spans="1:9" ht="15.75" thickBot="1"/>
    <row r="31" spans="1:9" ht="15.75" thickBot="1">
      <c r="F31" s="4" t="s">
        <v>36</v>
      </c>
    </row>
    <row r="33" spans="5:8">
      <c r="E33" s="1" t="s">
        <v>37</v>
      </c>
      <c r="F33" s="24">
        <f>E23+E21+F28+F21</f>
        <v>81897</v>
      </c>
      <c r="G33" s="29">
        <f>G21/F33</f>
        <v>0.19353578275150493</v>
      </c>
      <c r="H33" s="29">
        <f>H21/F33</f>
        <v>0.17623356166892559</v>
      </c>
    </row>
    <row r="34" spans="5:8" ht="15.75" thickBot="1"/>
    <row r="35" spans="5:8" ht="15.75" thickBot="1">
      <c r="E35" s="113" t="s">
        <v>38</v>
      </c>
      <c r="F35" s="114"/>
    </row>
    <row r="36" spans="5:8" ht="15.75" thickBot="1">
      <c r="G36" s="4" t="s">
        <v>39</v>
      </c>
    </row>
    <row r="37" spans="5:8" ht="15.75" thickBot="1">
      <c r="H37" s="4" t="s">
        <v>40</v>
      </c>
    </row>
  </sheetData>
  <mergeCells count="4">
    <mergeCell ref="A1:H1"/>
    <mergeCell ref="C3:D3"/>
    <mergeCell ref="E3:H3"/>
    <mergeCell ref="E35:F35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F7"/>
  <sheetViews>
    <sheetView workbookViewId="0">
      <selection activeCell="F7" activeCellId="1" sqref="F4 F7"/>
    </sheetView>
  </sheetViews>
  <sheetFormatPr baseColWidth="10" defaultRowHeight="15"/>
  <cols>
    <col min="2" max="2" width="32.85546875" customWidth="1"/>
    <col min="3" max="3" width="13.85546875" customWidth="1"/>
  </cols>
  <sheetData>
    <row r="2" spans="2:6">
      <c r="B2" t="s">
        <v>41</v>
      </c>
      <c r="C2" s="31">
        <v>8800</v>
      </c>
    </row>
    <row r="3" spans="2:6">
      <c r="B3" t="s">
        <v>42</v>
      </c>
      <c r="C3" s="31">
        <v>1200</v>
      </c>
    </row>
    <row r="4" spans="2:6">
      <c r="B4" s="32" t="s">
        <v>43</v>
      </c>
      <c r="C4" s="33">
        <f>C2-C3</f>
        <v>7600</v>
      </c>
      <c r="F4" s="105"/>
    </row>
    <row r="6" spans="2:6">
      <c r="B6" t="s">
        <v>44</v>
      </c>
      <c r="C6">
        <v>2400</v>
      </c>
      <c r="D6" t="s">
        <v>45</v>
      </c>
    </row>
    <row r="7" spans="2:6">
      <c r="B7" t="s">
        <v>46</v>
      </c>
      <c r="C7" s="31">
        <f>C4/C6</f>
        <v>3.1666666666666665</v>
      </c>
      <c r="D7" t="s">
        <v>45</v>
      </c>
      <c r="F7" s="104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topLeftCell="A9" workbookViewId="0">
      <selection activeCell="H17" sqref="H17"/>
    </sheetView>
  </sheetViews>
  <sheetFormatPr baseColWidth="10" defaultRowHeight="15"/>
  <cols>
    <col min="2" max="2" width="19.140625" customWidth="1"/>
    <col min="3" max="3" width="14.28515625" customWidth="1"/>
    <col min="5" max="5" width="14.5703125" customWidth="1"/>
  </cols>
  <sheetData>
    <row r="1" spans="1:8">
      <c r="A1" s="34"/>
      <c r="B1" s="34"/>
      <c r="C1" s="34"/>
      <c r="D1" s="34"/>
      <c r="E1" s="34"/>
      <c r="F1" s="34"/>
      <c r="G1" s="34"/>
      <c r="H1" s="34"/>
    </row>
    <row r="2" spans="1:8">
      <c r="A2" s="34"/>
      <c r="B2" s="45"/>
      <c r="C2" s="35"/>
      <c r="D2" s="35"/>
      <c r="E2" s="35"/>
      <c r="F2" s="35"/>
      <c r="G2" s="36"/>
      <c r="H2" s="34"/>
    </row>
    <row r="3" spans="1:8">
      <c r="A3" s="34"/>
      <c r="B3" s="37" t="s">
        <v>47</v>
      </c>
      <c r="C3" s="51"/>
      <c r="D3" s="44"/>
      <c r="E3" s="40" t="s">
        <v>51</v>
      </c>
      <c r="F3" s="55"/>
      <c r="G3" s="39"/>
      <c r="H3" s="34"/>
    </row>
    <row r="4" spans="1:8">
      <c r="A4" s="34"/>
      <c r="B4" s="37" t="s">
        <v>48</v>
      </c>
      <c r="C4" s="52"/>
      <c r="D4" s="38"/>
      <c r="E4" s="40" t="s">
        <v>52</v>
      </c>
      <c r="F4" s="55"/>
      <c r="G4" s="39"/>
      <c r="H4" s="34"/>
    </row>
    <row r="5" spans="1:8">
      <c r="A5" s="34"/>
      <c r="B5" s="37" t="s">
        <v>49</v>
      </c>
      <c r="C5" s="53"/>
      <c r="D5" s="38"/>
      <c r="E5" s="49" t="s">
        <v>62</v>
      </c>
      <c r="F5" s="56"/>
      <c r="G5" s="39"/>
      <c r="H5" s="34"/>
    </row>
    <row r="6" spans="1:8">
      <c r="A6" s="34"/>
      <c r="B6" s="37" t="s">
        <v>50</v>
      </c>
      <c r="C6" s="54"/>
      <c r="D6" s="38"/>
      <c r="E6" s="49" t="s">
        <v>63</v>
      </c>
      <c r="F6" s="57"/>
      <c r="G6" s="39"/>
      <c r="H6" s="34"/>
    </row>
    <row r="7" spans="1:8">
      <c r="A7" s="34"/>
      <c r="B7" s="41"/>
      <c r="C7" s="42"/>
      <c r="D7" s="42"/>
      <c r="E7" s="42"/>
      <c r="F7" s="42"/>
      <c r="G7" s="43"/>
      <c r="H7" s="34"/>
    </row>
    <row r="8" spans="1:8">
      <c r="A8" s="34"/>
      <c r="B8" s="34"/>
      <c r="C8" s="34"/>
      <c r="D8" s="34"/>
      <c r="E8" s="34"/>
      <c r="F8" s="34"/>
      <c r="G8" s="34"/>
      <c r="H8" s="34"/>
    </row>
    <row r="10" spans="1:8">
      <c r="B10" s="1" t="s">
        <v>53</v>
      </c>
      <c r="C10" s="31">
        <f>C5*C6</f>
        <v>0</v>
      </c>
      <c r="E10" s="104"/>
    </row>
    <row r="11" spans="1:8">
      <c r="B11" s="1" t="s">
        <v>54</v>
      </c>
      <c r="C11" s="31">
        <f>C10*F3</f>
        <v>0</v>
      </c>
      <c r="E11" s="104"/>
    </row>
    <row r="12" spans="1:8">
      <c r="B12" s="46" t="s">
        <v>55</v>
      </c>
      <c r="C12" s="47">
        <f>C10-C11</f>
        <v>0</v>
      </c>
      <c r="E12" s="105"/>
    </row>
    <row r="13" spans="1:8">
      <c r="B13" s="1"/>
      <c r="C13" s="31"/>
    </row>
    <row r="14" spans="1:8">
      <c r="B14" s="1" t="s">
        <v>61</v>
      </c>
      <c r="C14" s="31">
        <f>C12*F4</f>
        <v>0</v>
      </c>
      <c r="E14" s="104"/>
    </row>
    <row r="15" spans="1:8">
      <c r="B15" s="1" t="s">
        <v>56</v>
      </c>
      <c r="C15" s="31">
        <f>F5</f>
        <v>0</v>
      </c>
      <c r="E15" s="104"/>
    </row>
    <row r="16" spans="1:8">
      <c r="B16" s="46" t="s">
        <v>57</v>
      </c>
      <c r="C16" s="47">
        <f>C12-C14+C15</f>
        <v>0</v>
      </c>
      <c r="E16" s="105"/>
    </row>
    <row r="17" spans="2:6">
      <c r="B17" s="1"/>
      <c r="C17" s="31"/>
      <c r="D17" s="5"/>
    </row>
    <row r="18" spans="2:6">
      <c r="B18" s="1" t="s">
        <v>58</v>
      </c>
      <c r="C18" s="31">
        <f>F6</f>
        <v>0</v>
      </c>
      <c r="E18" s="104"/>
    </row>
    <row r="19" spans="2:6">
      <c r="B19" s="46" t="s">
        <v>59</v>
      </c>
      <c r="C19" s="47">
        <f>C16+C18</f>
        <v>0</v>
      </c>
      <c r="E19" s="105"/>
    </row>
    <row r="20" spans="2:6">
      <c r="B20" s="1"/>
      <c r="C20" s="31"/>
    </row>
    <row r="21" spans="2:6">
      <c r="B21" s="46" t="s">
        <v>60</v>
      </c>
      <c r="C21" s="48" t="str">
        <f>IF(C19=0,"",C19/C6)</f>
        <v/>
      </c>
      <c r="E21" s="128"/>
      <c r="F21" s="128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D19" sqref="D19"/>
    </sheetView>
  </sheetViews>
  <sheetFormatPr baseColWidth="10" defaultRowHeight="15"/>
  <cols>
    <col min="2" max="2" width="19.140625" customWidth="1"/>
    <col min="3" max="3" width="14.28515625" customWidth="1"/>
    <col min="5" max="5" width="14.5703125" customWidth="1"/>
  </cols>
  <sheetData>
    <row r="1" spans="1:8">
      <c r="A1" s="34"/>
      <c r="B1" s="34"/>
      <c r="C1" s="34"/>
      <c r="D1" s="34"/>
      <c r="E1" s="34"/>
      <c r="F1" s="34"/>
      <c r="G1" s="34"/>
      <c r="H1" s="34"/>
    </row>
    <row r="2" spans="1:8">
      <c r="A2" s="34"/>
      <c r="B2" s="45"/>
      <c r="C2" s="35"/>
      <c r="D2" s="35"/>
      <c r="E2" s="35"/>
      <c r="F2" s="35"/>
      <c r="G2" s="36"/>
      <c r="H2" s="34"/>
    </row>
    <row r="3" spans="1:8">
      <c r="A3" s="34"/>
      <c r="B3" s="37" t="s">
        <v>47</v>
      </c>
      <c r="C3" s="51" t="s">
        <v>64</v>
      </c>
      <c r="D3" s="44"/>
      <c r="E3" s="40" t="s">
        <v>51</v>
      </c>
      <c r="F3" s="55">
        <v>0.03</v>
      </c>
      <c r="G3" s="39"/>
      <c r="H3" s="34"/>
    </row>
    <row r="4" spans="1:8">
      <c r="A4" s="34"/>
      <c r="B4" s="37" t="s">
        <v>48</v>
      </c>
      <c r="C4" s="52" t="s">
        <v>65</v>
      </c>
      <c r="D4" s="38"/>
      <c r="E4" s="40" t="s">
        <v>52</v>
      </c>
      <c r="F4" s="55">
        <v>0.01</v>
      </c>
      <c r="G4" s="39"/>
      <c r="H4" s="34"/>
    </row>
    <row r="5" spans="1:8">
      <c r="A5" s="34"/>
      <c r="B5" s="37" t="s">
        <v>49</v>
      </c>
      <c r="C5" s="53">
        <v>798</v>
      </c>
      <c r="D5" s="38"/>
      <c r="E5" s="49" t="s">
        <v>62</v>
      </c>
      <c r="F5" s="56">
        <v>35.75</v>
      </c>
      <c r="G5" s="39"/>
      <c r="H5" s="34"/>
    </row>
    <row r="6" spans="1:8">
      <c r="A6" s="34"/>
      <c r="B6" s="37" t="s">
        <v>50</v>
      </c>
      <c r="C6" s="54">
        <v>25</v>
      </c>
      <c r="D6" s="38"/>
      <c r="E6" s="49" t="s">
        <v>63</v>
      </c>
      <c r="F6" s="57">
        <v>98</v>
      </c>
      <c r="G6" s="39"/>
      <c r="H6" s="34"/>
    </row>
    <row r="7" spans="1:8">
      <c r="A7" s="34"/>
      <c r="B7" s="41"/>
      <c r="C7" s="42"/>
      <c r="D7" s="42"/>
      <c r="E7" s="42"/>
      <c r="F7" s="42"/>
      <c r="G7" s="43"/>
      <c r="H7" s="34"/>
    </row>
    <row r="8" spans="1:8">
      <c r="A8" s="34"/>
      <c r="B8" s="34"/>
      <c r="C8" s="34"/>
      <c r="D8" s="34"/>
      <c r="E8" s="34"/>
      <c r="F8" s="34"/>
      <c r="G8" s="34"/>
      <c r="H8" s="34"/>
    </row>
    <row r="10" spans="1:8">
      <c r="B10" s="1" t="s">
        <v>53</v>
      </c>
      <c r="C10" s="31">
        <f>C5*C6</f>
        <v>19950</v>
      </c>
      <c r="E10" s="50"/>
    </row>
    <row r="11" spans="1:8">
      <c r="B11" s="1" t="s">
        <v>54</v>
      </c>
      <c r="C11" s="31">
        <f>C10*F3</f>
        <v>598.5</v>
      </c>
      <c r="E11" s="50"/>
    </row>
    <row r="12" spans="1:8">
      <c r="B12" s="46" t="s">
        <v>55</v>
      </c>
      <c r="C12" s="47">
        <f>C10-C11</f>
        <v>19351.5</v>
      </c>
      <c r="E12" s="25"/>
    </row>
    <row r="13" spans="1:8">
      <c r="B13" s="1"/>
      <c r="C13" s="31"/>
    </row>
    <row r="14" spans="1:8">
      <c r="B14" s="1" t="s">
        <v>61</v>
      </c>
      <c r="C14" s="31">
        <f>C12*F4</f>
        <v>193.51500000000001</v>
      </c>
      <c r="E14" s="50"/>
    </row>
    <row r="15" spans="1:8">
      <c r="B15" s="1" t="s">
        <v>56</v>
      </c>
      <c r="C15" s="31">
        <f>F5</f>
        <v>35.75</v>
      </c>
      <c r="E15" s="50"/>
    </row>
    <row r="16" spans="1:8">
      <c r="B16" s="46" t="s">
        <v>57</v>
      </c>
      <c r="C16" s="47">
        <f>C12-C14+C15</f>
        <v>19193.735000000001</v>
      </c>
      <c r="E16" s="25"/>
    </row>
    <row r="17" spans="2:6">
      <c r="B17" s="1"/>
      <c r="C17" s="31"/>
      <c r="D17" s="5"/>
    </row>
    <row r="18" spans="2:6">
      <c r="B18" s="1" t="s">
        <v>58</v>
      </c>
      <c r="C18" s="31">
        <f>F6</f>
        <v>98</v>
      </c>
      <c r="E18" s="50"/>
    </row>
    <row r="19" spans="2:6">
      <c r="B19" s="46" t="s">
        <v>59</v>
      </c>
      <c r="C19" s="47">
        <f>C16+C18</f>
        <v>19291.735000000001</v>
      </c>
      <c r="E19" s="25"/>
    </row>
    <row r="20" spans="2:6">
      <c r="B20" s="1"/>
      <c r="C20" s="31"/>
    </row>
    <row r="21" spans="2:6">
      <c r="B21" s="46" t="s">
        <v>60</v>
      </c>
      <c r="C21" s="47">
        <f>IF(C19=0,"",C19/C6)</f>
        <v>771.6694</v>
      </c>
      <c r="E21" s="117"/>
      <c r="F21" s="117"/>
    </row>
  </sheetData>
  <sheetProtection password="C94A" sheet="1" objects="1" scenarios="1"/>
  <mergeCells count="1">
    <mergeCell ref="E21:F21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1"/>
  <sheetViews>
    <sheetView workbookViewId="0">
      <selection activeCell="D25" sqref="D25"/>
    </sheetView>
  </sheetViews>
  <sheetFormatPr baseColWidth="10" defaultRowHeight="15"/>
  <cols>
    <col min="2" max="2" width="19.140625" customWidth="1"/>
    <col min="3" max="3" width="14.28515625" customWidth="1"/>
    <col min="4" max="4" width="15.28515625" customWidth="1"/>
    <col min="5" max="5" width="14.5703125" customWidth="1"/>
  </cols>
  <sheetData>
    <row r="1" spans="1:8">
      <c r="A1" s="34"/>
      <c r="B1" s="34"/>
      <c r="C1" s="34"/>
      <c r="D1" s="34"/>
      <c r="E1" s="34"/>
      <c r="F1" s="34"/>
      <c r="G1" s="34"/>
      <c r="H1" s="34"/>
    </row>
    <row r="2" spans="1:8">
      <c r="A2" s="34"/>
      <c r="B2" s="45"/>
      <c r="C2" s="35"/>
      <c r="D2" s="35"/>
      <c r="E2" s="35"/>
      <c r="F2" s="35"/>
      <c r="G2" s="36"/>
      <c r="H2" s="34"/>
    </row>
    <row r="3" spans="1:8">
      <c r="A3" s="34"/>
      <c r="B3" s="37" t="s">
        <v>47</v>
      </c>
      <c r="C3" s="51"/>
      <c r="D3" s="44"/>
      <c r="E3" s="40" t="s">
        <v>51</v>
      </c>
      <c r="F3" s="67"/>
      <c r="G3" s="39"/>
      <c r="H3" s="34"/>
    </row>
    <row r="4" spans="1:8">
      <c r="A4" s="34"/>
      <c r="B4" s="37" t="s">
        <v>48</v>
      </c>
      <c r="C4" s="52"/>
      <c r="D4" s="66"/>
      <c r="E4" s="40" t="s">
        <v>52</v>
      </c>
      <c r="F4" s="67"/>
      <c r="G4" s="39"/>
      <c r="H4" s="34"/>
    </row>
    <row r="5" spans="1:8">
      <c r="A5" s="34"/>
      <c r="B5" s="60" t="s">
        <v>66</v>
      </c>
      <c r="C5" s="68"/>
      <c r="D5" s="38"/>
      <c r="E5" s="49" t="s">
        <v>67</v>
      </c>
      <c r="F5" s="67"/>
      <c r="G5" s="39"/>
      <c r="H5" s="34"/>
    </row>
    <row r="6" spans="1:8">
      <c r="A6" s="34"/>
      <c r="B6" s="37" t="s">
        <v>49</v>
      </c>
      <c r="C6" s="53"/>
      <c r="D6" s="38"/>
      <c r="E6" s="49" t="s">
        <v>68</v>
      </c>
      <c r="F6" s="67"/>
      <c r="G6" s="39"/>
      <c r="H6" s="34"/>
    </row>
    <row r="7" spans="1:8">
      <c r="A7" s="34"/>
      <c r="B7" s="37" t="s">
        <v>50</v>
      </c>
      <c r="C7" s="54"/>
      <c r="D7" s="38"/>
      <c r="E7" s="40" t="s">
        <v>69</v>
      </c>
      <c r="F7" s="67"/>
      <c r="G7" s="39"/>
      <c r="H7" s="34"/>
    </row>
    <row r="8" spans="1:8">
      <c r="A8" s="34"/>
      <c r="B8" s="60" t="s">
        <v>62</v>
      </c>
      <c r="C8" s="56"/>
      <c r="D8" s="38"/>
      <c r="E8" s="40" t="s">
        <v>70</v>
      </c>
      <c r="F8" s="67"/>
      <c r="G8" s="39"/>
      <c r="H8" s="34"/>
    </row>
    <row r="9" spans="1:8">
      <c r="A9" s="34"/>
      <c r="B9" s="60" t="s">
        <v>63</v>
      </c>
      <c r="C9" s="57"/>
      <c r="D9" s="38"/>
      <c r="E9" s="38"/>
      <c r="F9" s="38"/>
      <c r="G9" s="39"/>
      <c r="H9" s="34"/>
    </row>
    <row r="10" spans="1:8">
      <c r="A10" s="34"/>
      <c r="B10" s="61"/>
      <c r="C10" s="62"/>
      <c r="D10" s="42"/>
      <c r="E10" s="42"/>
      <c r="F10" s="42"/>
      <c r="G10" s="43"/>
      <c r="H10" s="34"/>
    </row>
    <row r="11" spans="1:8">
      <c r="A11" s="34"/>
      <c r="B11" s="38"/>
      <c r="C11" s="38"/>
      <c r="D11" s="38"/>
      <c r="E11" s="38"/>
      <c r="F11" s="38"/>
      <c r="G11" s="38"/>
      <c r="H11" s="34"/>
    </row>
    <row r="12" spans="1:8">
      <c r="A12" s="64"/>
    </row>
    <row r="13" spans="1:8">
      <c r="B13" s="1" t="s">
        <v>53</v>
      </c>
      <c r="C13" s="31">
        <f>C6*C7</f>
        <v>0</v>
      </c>
      <c r="E13" s="104"/>
    </row>
    <row r="14" spans="1:8">
      <c r="B14" s="1" t="s">
        <v>54</v>
      </c>
      <c r="C14" s="59">
        <f>C13*F3</f>
        <v>0</v>
      </c>
      <c r="E14" s="104"/>
    </row>
    <row r="15" spans="1:8">
      <c r="B15" s="46" t="s">
        <v>55</v>
      </c>
      <c r="C15" s="47">
        <f>C13-C14</f>
        <v>0</v>
      </c>
      <c r="E15" s="105"/>
    </row>
    <row r="16" spans="1:8">
      <c r="B16" s="1" t="s">
        <v>61</v>
      </c>
      <c r="C16" s="31">
        <f>C15*F4</f>
        <v>0</v>
      </c>
      <c r="E16" s="104"/>
    </row>
    <row r="17" spans="2:6">
      <c r="B17" s="1" t="s">
        <v>56</v>
      </c>
      <c r="C17" s="31">
        <f>C8</f>
        <v>0</v>
      </c>
      <c r="E17" s="104"/>
    </row>
    <row r="18" spans="2:6">
      <c r="B18" s="46" t="s">
        <v>57</v>
      </c>
      <c r="C18" s="47">
        <f>C15-C16+C17</f>
        <v>0</v>
      </c>
      <c r="E18" s="105"/>
    </row>
    <row r="19" spans="2:6">
      <c r="B19" s="1" t="s">
        <v>58</v>
      </c>
      <c r="C19" s="31">
        <f>C9</f>
        <v>0</v>
      </c>
      <c r="E19" s="104"/>
    </row>
    <row r="20" spans="2:6">
      <c r="B20" s="46" t="s">
        <v>59</v>
      </c>
      <c r="C20" s="47">
        <f>C18+C19</f>
        <v>0</v>
      </c>
      <c r="E20" s="105"/>
    </row>
    <row r="21" spans="2:6">
      <c r="B21" s="1"/>
      <c r="C21" s="31"/>
    </row>
    <row r="22" spans="2:6">
      <c r="B22" s="46" t="s">
        <v>60</v>
      </c>
      <c r="C22" s="47" t="str">
        <f>IF(C20=0,"",C20/C7)</f>
        <v/>
      </c>
      <c r="E22" s="128"/>
      <c r="F22" s="128"/>
    </row>
    <row r="23" spans="2:6">
      <c r="B23" s="1" t="s">
        <v>71</v>
      </c>
      <c r="C23" s="24">
        <f>IF(C5=0,0,C22*C5)</f>
        <v>0</v>
      </c>
      <c r="E23" s="128"/>
      <c r="F23" s="128"/>
    </row>
    <row r="24" spans="2:6">
      <c r="B24" s="63" t="s">
        <v>72</v>
      </c>
      <c r="C24" s="24">
        <f>C23*F5</f>
        <v>0</v>
      </c>
      <c r="E24" s="104"/>
    </row>
    <row r="25" spans="2:6">
      <c r="B25" s="46" t="s">
        <v>73</v>
      </c>
      <c r="C25" s="69">
        <f>SUM(C23:C24)</f>
        <v>0</v>
      </c>
      <c r="E25" s="129"/>
      <c r="F25" s="129"/>
    </row>
    <row r="26" spans="2:6">
      <c r="B26" s="63" t="s">
        <v>74</v>
      </c>
      <c r="C26" s="24">
        <f>C25*F6</f>
        <v>0</v>
      </c>
      <c r="E26" s="104"/>
    </row>
    <row r="27" spans="2:6">
      <c r="B27" s="46" t="s">
        <v>75</v>
      </c>
      <c r="C27" s="69">
        <f>C25+C26</f>
        <v>0</v>
      </c>
      <c r="E27" s="105"/>
    </row>
    <row r="28" spans="2:6">
      <c r="B28" s="63" t="s">
        <v>76</v>
      </c>
      <c r="C28" s="31">
        <f>(C27*(100%-F7))*F7</f>
        <v>0</v>
      </c>
      <c r="E28" s="128"/>
      <c r="F28" s="128"/>
    </row>
    <row r="29" spans="2:6">
      <c r="B29" s="46" t="s">
        <v>77</v>
      </c>
      <c r="C29" s="69">
        <f>C27+C28</f>
        <v>0</v>
      </c>
      <c r="E29" s="105"/>
    </row>
    <row r="30" spans="2:6">
      <c r="B30" s="63" t="s">
        <v>78</v>
      </c>
      <c r="C30" s="31">
        <f>(C29*(100%-F8))*F8</f>
        <v>0</v>
      </c>
      <c r="E30" s="128"/>
      <c r="F30" s="128"/>
    </row>
    <row r="31" spans="2:6">
      <c r="B31" s="46" t="s">
        <v>79</v>
      </c>
      <c r="C31" s="69">
        <f>C29+C30</f>
        <v>0</v>
      </c>
      <c r="E31" s="105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1"/>
  <sheetViews>
    <sheetView zoomScaleNormal="100" workbookViewId="0">
      <selection activeCell="E17" sqref="E17"/>
    </sheetView>
  </sheetViews>
  <sheetFormatPr baseColWidth="10" defaultRowHeight="15"/>
  <cols>
    <col min="2" max="2" width="19.140625" customWidth="1"/>
    <col min="3" max="3" width="14.28515625" customWidth="1"/>
    <col min="4" max="4" width="15.28515625" customWidth="1"/>
    <col min="5" max="5" width="14.5703125" customWidth="1"/>
  </cols>
  <sheetData>
    <row r="1" spans="1:8">
      <c r="A1" s="34"/>
      <c r="B1" s="34"/>
      <c r="C1" s="34"/>
      <c r="D1" s="34"/>
      <c r="E1" s="34"/>
      <c r="F1" s="34"/>
      <c r="G1" s="34"/>
      <c r="H1" s="34"/>
    </row>
    <row r="2" spans="1:8">
      <c r="A2" s="34"/>
      <c r="B2" s="45"/>
      <c r="C2" s="35"/>
      <c r="D2" s="35"/>
      <c r="E2" s="35"/>
      <c r="F2" s="35"/>
      <c r="G2" s="36"/>
      <c r="H2" s="34"/>
    </row>
    <row r="3" spans="1:8">
      <c r="A3" s="34"/>
      <c r="B3" s="37" t="s">
        <v>47</v>
      </c>
      <c r="C3" s="51" t="s">
        <v>80</v>
      </c>
      <c r="D3" s="44"/>
      <c r="E3" s="40" t="s">
        <v>51</v>
      </c>
      <c r="F3" s="67">
        <v>1.4999999999999999E-2</v>
      </c>
      <c r="G3" s="39"/>
      <c r="H3" s="34"/>
    </row>
    <row r="4" spans="1:8">
      <c r="A4" s="34"/>
      <c r="B4" s="37" t="s">
        <v>48</v>
      </c>
      <c r="C4" s="52" t="s">
        <v>81</v>
      </c>
      <c r="D4" s="66"/>
      <c r="E4" s="40" t="s">
        <v>52</v>
      </c>
      <c r="F4" s="67">
        <v>2.5000000000000001E-2</v>
      </c>
      <c r="G4" s="39"/>
      <c r="H4" s="34"/>
    </row>
    <row r="5" spans="1:8">
      <c r="A5" s="34"/>
      <c r="B5" s="60" t="s">
        <v>66</v>
      </c>
      <c r="C5" s="68">
        <v>0.125</v>
      </c>
      <c r="D5" s="38"/>
      <c r="E5" s="49" t="s">
        <v>67</v>
      </c>
      <c r="F5" s="67">
        <v>0.06</v>
      </c>
      <c r="G5" s="39"/>
      <c r="H5" s="34"/>
    </row>
    <row r="6" spans="1:8">
      <c r="A6" s="34"/>
      <c r="B6" s="37" t="s">
        <v>49</v>
      </c>
      <c r="C6" s="53">
        <v>87.5</v>
      </c>
      <c r="D6" s="38"/>
      <c r="E6" s="49" t="s">
        <v>68</v>
      </c>
      <c r="F6" s="67">
        <v>0.25</v>
      </c>
      <c r="G6" s="39"/>
      <c r="H6" s="34"/>
    </row>
    <row r="7" spans="1:8">
      <c r="A7" s="34"/>
      <c r="B7" s="37" t="s">
        <v>50</v>
      </c>
      <c r="C7" s="54">
        <v>15</v>
      </c>
      <c r="D7" s="38"/>
      <c r="E7" s="40" t="s">
        <v>69</v>
      </c>
      <c r="F7" s="67">
        <v>0.02</v>
      </c>
      <c r="G7" s="39"/>
      <c r="H7" s="34"/>
    </row>
    <row r="8" spans="1:8">
      <c r="A8" s="34"/>
      <c r="B8" s="60" t="s">
        <v>62</v>
      </c>
      <c r="C8" s="73">
        <v>27.5</v>
      </c>
      <c r="D8" s="38"/>
      <c r="E8" s="40" t="s">
        <v>70</v>
      </c>
      <c r="F8" s="67">
        <v>0.01</v>
      </c>
      <c r="G8" s="39"/>
      <c r="H8" s="34"/>
    </row>
    <row r="9" spans="1:8">
      <c r="A9" s="34"/>
      <c r="B9" s="60" t="s">
        <v>63</v>
      </c>
      <c r="C9" s="72">
        <v>12</v>
      </c>
      <c r="D9" s="38"/>
      <c r="E9" s="38"/>
      <c r="F9" s="38"/>
      <c r="G9" s="39"/>
      <c r="H9" s="34"/>
    </row>
    <row r="10" spans="1:8">
      <c r="A10" s="34"/>
      <c r="B10" s="61"/>
      <c r="C10" s="62"/>
      <c r="D10" s="42"/>
      <c r="E10" s="42"/>
      <c r="F10" s="42"/>
      <c r="G10" s="43"/>
      <c r="H10" s="34"/>
    </row>
    <row r="11" spans="1:8">
      <c r="A11" s="34"/>
      <c r="B11" s="38"/>
      <c r="C11" s="38"/>
      <c r="D11" s="38"/>
      <c r="E11" s="38"/>
      <c r="F11" s="38"/>
      <c r="G11" s="38"/>
      <c r="H11" s="34"/>
    </row>
    <row r="12" spans="1:8">
      <c r="A12" s="64"/>
    </row>
    <row r="13" spans="1:8">
      <c r="B13" s="1" t="s">
        <v>53</v>
      </c>
      <c r="C13" s="31">
        <f>C6*C7</f>
        <v>1312.5</v>
      </c>
      <c r="E13" s="58"/>
    </row>
    <row r="14" spans="1:8">
      <c r="B14" s="1" t="s">
        <v>54</v>
      </c>
      <c r="C14" s="59">
        <f>C13*F3</f>
        <v>19.6875</v>
      </c>
      <c r="E14" s="58"/>
    </row>
    <row r="15" spans="1:8">
      <c r="B15" s="46" t="s">
        <v>55</v>
      </c>
      <c r="C15" s="47">
        <f>C13-C14</f>
        <v>1292.8125</v>
      </c>
      <c r="E15" s="25"/>
    </row>
    <row r="16" spans="1:8">
      <c r="B16" s="1" t="s">
        <v>61</v>
      </c>
      <c r="C16" s="31">
        <f>C15*F4</f>
        <v>32.3203125</v>
      </c>
      <c r="E16" s="58"/>
    </row>
    <row r="17" spans="2:6">
      <c r="B17" s="1" t="s">
        <v>56</v>
      </c>
      <c r="C17" s="31">
        <f>C8</f>
        <v>27.5</v>
      </c>
      <c r="E17" s="58"/>
    </row>
    <row r="18" spans="2:6">
      <c r="B18" s="46" t="s">
        <v>57</v>
      </c>
      <c r="C18" s="47">
        <f>C15-C16+C17</f>
        <v>1287.9921875</v>
      </c>
      <c r="E18" s="25"/>
    </row>
    <row r="19" spans="2:6">
      <c r="B19" s="1" t="s">
        <v>58</v>
      </c>
      <c r="C19" s="31">
        <f>C9</f>
        <v>12</v>
      </c>
      <c r="E19" s="58"/>
    </row>
    <row r="20" spans="2:6">
      <c r="B20" s="46" t="s">
        <v>59</v>
      </c>
      <c r="C20" s="47">
        <f>C18+C19</f>
        <v>1299.9921875</v>
      </c>
      <c r="E20" s="25"/>
    </row>
    <row r="21" spans="2:6">
      <c r="B21" s="1"/>
      <c r="C21" s="31"/>
    </row>
    <row r="22" spans="2:6">
      <c r="B22" s="46" t="s">
        <v>60</v>
      </c>
      <c r="C22" s="47">
        <f>IF(C20=0,"",C20/C7)</f>
        <v>86.666145833333331</v>
      </c>
      <c r="E22" s="117"/>
      <c r="F22" s="117"/>
    </row>
    <row r="23" spans="2:6">
      <c r="B23" s="1" t="s">
        <v>71</v>
      </c>
      <c r="C23" s="24">
        <f>IF(C5=0,0,C22*C5)</f>
        <v>10.833268229166666</v>
      </c>
      <c r="E23" s="117"/>
      <c r="F23" s="117"/>
    </row>
    <row r="24" spans="2:6">
      <c r="B24" s="63" t="s">
        <v>72</v>
      </c>
      <c r="C24" s="24">
        <f>C23*F5</f>
        <v>0.64999609375</v>
      </c>
      <c r="E24" s="58"/>
    </row>
    <row r="25" spans="2:6">
      <c r="B25" s="46" t="s">
        <v>73</v>
      </c>
      <c r="C25" s="69">
        <f>SUM(C23:C24)</f>
        <v>11.483264322916666</v>
      </c>
      <c r="E25" s="118"/>
      <c r="F25" s="118"/>
    </row>
    <row r="26" spans="2:6">
      <c r="B26" s="63" t="s">
        <v>74</v>
      </c>
      <c r="C26" s="24">
        <f>C25*F6</f>
        <v>2.8708160807291665</v>
      </c>
      <c r="E26" s="58"/>
    </row>
    <row r="27" spans="2:6">
      <c r="B27" s="46" t="s">
        <v>75</v>
      </c>
      <c r="C27" s="69">
        <f>C25+C26</f>
        <v>14.354080403645833</v>
      </c>
      <c r="E27" s="25"/>
    </row>
    <row r="28" spans="2:6">
      <c r="B28" s="63" t="s">
        <v>76</v>
      </c>
      <c r="C28" s="31">
        <f>(C27*(100%-F7))*F7</f>
        <v>0.28133997591145832</v>
      </c>
      <c r="E28" s="117"/>
      <c r="F28" s="117"/>
    </row>
    <row r="29" spans="2:6">
      <c r="B29" s="46" t="s">
        <v>77</v>
      </c>
      <c r="C29" s="69">
        <f>C27+C28</f>
        <v>14.635420379557292</v>
      </c>
      <c r="E29" s="25"/>
    </row>
    <row r="30" spans="2:6">
      <c r="B30" s="63" t="s">
        <v>78</v>
      </c>
      <c r="C30" s="31">
        <f>(C29*(100%-F8))*F8</f>
        <v>0.1448906617576172</v>
      </c>
      <c r="E30" s="117"/>
      <c r="F30" s="117"/>
    </row>
    <row r="31" spans="2:6">
      <c r="B31" s="46" t="s">
        <v>79</v>
      </c>
      <c r="C31" s="69">
        <f>C29+C30</f>
        <v>14.78031104131491</v>
      </c>
      <c r="E31" s="25"/>
    </row>
  </sheetData>
  <mergeCells count="5">
    <mergeCell ref="E22:F22"/>
    <mergeCell ref="E23:F23"/>
    <mergeCell ref="E25:F25"/>
    <mergeCell ref="E28:F28"/>
    <mergeCell ref="E30:F30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J20"/>
  <sheetViews>
    <sheetView topLeftCell="C1" workbookViewId="0">
      <selection activeCell="H2" sqref="H2"/>
    </sheetView>
  </sheetViews>
  <sheetFormatPr baseColWidth="10" defaultRowHeight="15"/>
  <cols>
    <col min="1" max="1" width="4.5703125" customWidth="1"/>
    <col min="2" max="2" width="27.28515625" customWidth="1"/>
    <col min="3" max="3" width="24.5703125" customWidth="1"/>
    <col min="4" max="4" width="5.7109375" customWidth="1"/>
    <col min="5" max="5" width="5.5703125" customWidth="1"/>
    <col min="6" max="6" width="34.7109375" customWidth="1"/>
    <col min="7" max="7" width="16.140625" style="31" customWidth="1"/>
  </cols>
  <sheetData>
    <row r="2" spans="1:10">
      <c r="A2" s="74"/>
      <c r="B2" s="74"/>
      <c r="C2" s="74"/>
      <c r="D2" s="74"/>
      <c r="F2" s="1" t="s">
        <v>92</v>
      </c>
      <c r="G2" s="31">
        <f>C15</f>
        <v>0</v>
      </c>
      <c r="I2" s="104"/>
    </row>
    <row r="3" spans="1:10">
      <c r="A3" s="74"/>
      <c r="B3" s="74" t="s">
        <v>47</v>
      </c>
      <c r="C3" s="64" t="s">
        <v>89</v>
      </c>
      <c r="D3" s="74"/>
      <c r="F3" s="1" t="s">
        <v>94</v>
      </c>
      <c r="G3" s="31">
        <f>G2*C6</f>
        <v>0</v>
      </c>
      <c r="I3" s="104"/>
    </row>
    <row r="4" spans="1:10">
      <c r="A4" s="74"/>
      <c r="B4" s="74"/>
      <c r="C4" s="74"/>
      <c r="D4" s="74"/>
      <c r="F4" s="70" t="s">
        <v>93</v>
      </c>
      <c r="G4" s="31">
        <f>G2+G3</f>
        <v>0</v>
      </c>
      <c r="I4" s="105"/>
    </row>
    <row r="5" spans="1:10">
      <c r="A5" s="74"/>
      <c r="B5" s="75" t="s">
        <v>82</v>
      </c>
      <c r="C5" s="74"/>
      <c r="D5" s="74"/>
    </row>
    <row r="6" spans="1:10">
      <c r="A6" s="74"/>
      <c r="B6" s="76" t="s">
        <v>83</v>
      </c>
      <c r="C6" s="77">
        <f>'BAB (2)'!E24</f>
        <v>9.6599661844824353E-2</v>
      </c>
      <c r="D6" s="74"/>
      <c r="F6" s="1" t="s">
        <v>95</v>
      </c>
      <c r="G6" s="31">
        <f>C16</f>
        <v>0</v>
      </c>
      <c r="I6" s="104"/>
    </row>
    <row r="7" spans="1:10">
      <c r="A7" s="74"/>
      <c r="B7" s="76" t="s">
        <v>84</v>
      </c>
      <c r="C7" s="77">
        <f>'BAB (2)'!F29</f>
        <v>1.6873429289467672</v>
      </c>
      <c r="D7" s="74"/>
      <c r="F7" s="1" t="s">
        <v>96</v>
      </c>
      <c r="G7" s="31">
        <f>G6*C7</f>
        <v>0</v>
      </c>
      <c r="I7" s="104"/>
    </row>
    <row r="8" spans="1:10">
      <c r="A8" s="74"/>
      <c r="B8" s="76" t="s">
        <v>85</v>
      </c>
      <c r="C8" s="77">
        <f>'BAB (2)'!G33</f>
        <v>0.19353578275150493</v>
      </c>
      <c r="D8" s="74"/>
      <c r="F8" s="1" t="s">
        <v>97</v>
      </c>
      <c r="G8" s="31">
        <f>C17</f>
        <v>0</v>
      </c>
      <c r="I8" s="104"/>
    </row>
    <row r="9" spans="1:10">
      <c r="A9" s="74"/>
      <c r="B9" s="76" t="s">
        <v>88</v>
      </c>
      <c r="C9" s="77">
        <f>'BAB (2)'!H33</f>
        <v>0.17623356166892559</v>
      </c>
      <c r="D9" s="74"/>
      <c r="F9" s="70" t="s">
        <v>98</v>
      </c>
      <c r="G9" s="31">
        <f>SUM(G6:G8)+G4</f>
        <v>0</v>
      </c>
      <c r="I9" s="129"/>
      <c r="J9" s="129"/>
    </row>
    <row r="10" spans="1:10">
      <c r="A10" s="74"/>
      <c r="B10" s="76" t="s">
        <v>86</v>
      </c>
      <c r="C10" s="77">
        <v>0.35</v>
      </c>
      <c r="D10" s="74"/>
    </row>
    <row r="11" spans="1:10">
      <c r="A11" s="74"/>
      <c r="B11" s="76" t="s">
        <v>87</v>
      </c>
      <c r="C11" s="77">
        <v>0.19</v>
      </c>
      <c r="D11" s="74"/>
      <c r="F11" s="1" t="s">
        <v>99</v>
      </c>
      <c r="G11" s="31">
        <f>G9*C8</f>
        <v>0</v>
      </c>
      <c r="I11" s="104"/>
    </row>
    <row r="12" spans="1:10">
      <c r="A12" s="74"/>
      <c r="B12" s="74"/>
      <c r="C12" s="74"/>
      <c r="D12" s="74"/>
      <c r="F12" s="1" t="s">
        <v>100</v>
      </c>
      <c r="G12" s="31">
        <f>G9*C9</f>
        <v>0</v>
      </c>
      <c r="I12" s="104"/>
    </row>
    <row r="13" spans="1:10">
      <c r="A13" s="64"/>
      <c r="B13" s="64"/>
      <c r="C13" s="64"/>
      <c r="D13" s="64"/>
      <c r="F13" s="1" t="s">
        <v>101</v>
      </c>
      <c r="G13" s="31">
        <f>C18</f>
        <v>0</v>
      </c>
      <c r="I13" s="104"/>
    </row>
    <row r="14" spans="1:10">
      <c r="A14" s="74"/>
      <c r="B14" s="74"/>
      <c r="C14" s="74"/>
      <c r="D14" s="74"/>
      <c r="F14" s="70" t="s">
        <v>73</v>
      </c>
      <c r="G14" s="31">
        <f>SUM(G11:G13)+G9</f>
        <v>0</v>
      </c>
      <c r="I14" s="129"/>
      <c r="J14" s="129"/>
    </row>
    <row r="15" spans="1:10">
      <c r="A15" s="74"/>
      <c r="B15" s="76" t="s">
        <v>90</v>
      </c>
      <c r="C15" s="64"/>
      <c r="D15" s="74"/>
    </row>
    <row r="16" spans="1:10">
      <c r="A16" s="74"/>
      <c r="B16" s="76" t="s">
        <v>33</v>
      </c>
      <c r="C16" s="64"/>
      <c r="D16" s="74"/>
      <c r="F16" s="1" t="s">
        <v>102</v>
      </c>
      <c r="G16" s="31">
        <f>G14*C10</f>
        <v>0</v>
      </c>
      <c r="I16" s="104"/>
    </row>
    <row r="17" spans="1:9">
      <c r="A17" s="74"/>
      <c r="B17" s="76" t="s">
        <v>106</v>
      </c>
      <c r="C17" s="64"/>
      <c r="D17" s="74"/>
      <c r="F17" s="70" t="s">
        <v>103</v>
      </c>
      <c r="G17" s="31">
        <f>G14+G16</f>
        <v>0</v>
      </c>
      <c r="I17" s="105"/>
    </row>
    <row r="18" spans="1:9">
      <c r="A18" s="74"/>
      <c r="B18" s="76" t="s">
        <v>91</v>
      </c>
      <c r="C18" s="64"/>
      <c r="D18" s="74"/>
    </row>
    <row r="19" spans="1:9">
      <c r="A19" s="74"/>
      <c r="B19" s="74"/>
      <c r="C19" s="74"/>
      <c r="D19" s="74"/>
      <c r="F19" s="1" t="s">
        <v>104</v>
      </c>
      <c r="G19" s="31">
        <f>G17*C11</f>
        <v>0</v>
      </c>
      <c r="I19" s="104"/>
    </row>
    <row r="20" spans="1:9">
      <c r="F20" s="70" t="s">
        <v>105</v>
      </c>
      <c r="G20" s="31">
        <f>G17+G19</f>
        <v>0</v>
      </c>
      <c r="I20" s="105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J20"/>
  <sheetViews>
    <sheetView workbookViewId="0">
      <selection activeCell="K22" sqref="K22"/>
    </sheetView>
  </sheetViews>
  <sheetFormatPr baseColWidth="10" defaultRowHeight="15"/>
  <cols>
    <col min="1" max="1" width="4.5703125" customWidth="1"/>
    <col min="2" max="2" width="27.28515625" customWidth="1"/>
    <col min="3" max="3" width="24.5703125" customWidth="1"/>
    <col min="4" max="4" width="5.7109375" customWidth="1"/>
    <col min="5" max="5" width="5.5703125" customWidth="1"/>
    <col min="6" max="6" width="34.7109375" customWidth="1"/>
    <col min="7" max="7" width="16.140625" style="31" customWidth="1"/>
  </cols>
  <sheetData>
    <row r="2" spans="1:10">
      <c r="A2" s="74"/>
      <c r="B2" s="74"/>
      <c r="C2" s="74"/>
      <c r="D2" s="74"/>
      <c r="F2" s="1" t="s">
        <v>92</v>
      </c>
      <c r="G2" s="31">
        <f>C15</f>
        <v>87</v>
      </c>
      <c r="I2" s="65"/>
    </row>
    <row r="3" spans="1:10">
      <c r="A3" s="74"/>
      <c r="B3" s="74" t="s">
        <v>47</v>
      </c>
      <c r="C3" s="64" t="s">
        <v>89</v>
      </c>
      <c r="D3" s="74"/>
      <c r="F3" s="1" t="s">
        <v>94</v>
      </c>
      <c r="G3" s="31">
        <f>G2*C6</f>
        <v>8.4041705804997182</v>
      </c>
      <c r="I3" s="65"/>
    </row>
    <row r="4" spans="1:10">
      <c r="A4" s="74"/>
      <c r="B4" s="74"/>
      <c r="C4" s="74"/>
      <c r="D4" s="74"/>
      <c r="F4" s="70" t="s">
        <v>93</v>
      </c>
      <c r="G4" s="31">
        <f>G2+G3</f>
        <v>95.404170580499724</v>
      </c>
      <c r="I4" s="71"/>
    </row>
    <row r="5" spans="1:10">
      <c r="A5" s="74"/>
      <c r="B5" s="75" t="s">
        <v>82</v>
      </c>
      <c r="C5" s="74"/>
      <c r="D5" s="74"/>
    </row>
    <row r="6" spans="1:10">
      <c r="A6" s="74"/>
      <c r="B6" s="76" t="s">
        <v>83</v>
      </c>
      <c r="C6" s="106">
        <f>'BAB (2)'!E24</f>
        <v>9.6599661844824353E-2</v>
      </c>
      <c r="D6" s="74"/>
      <c r="F6" s="1" t="s">
        <v>95</v>
      </c>
      <c r="G6" s="31">
        <f>C16</f>
        <v>112</v>
      </c>
      <c r="I6" s="65"/>
    </row>
    <row r="7" spans="1:10">
      <c r="A7" s="74"/>
      <c r="B7" s="76" t="s">
        <v>84</v>
      </c>
      <c r="C7" s="106">
        <f>'BAB (2)'!F29</f>
        <v>1.6873429289467672</v>
      </c>
      <c r="D7" s="74"/>
      <c r="F7" s="1" t="s">
        <v>96</v>
      </c>
      <c r="G7" s="31">
        <f>G6*C7</f>
        <v>188.98240804203792</v>
      </c>
      <c r="I7" s="65"/>
    </row>
    <row r="8" spans="1:10">
      <c r="A8" s="74"/>
      <c r="B8" s="76" t="s">
        <v>85</v>
      </c>
      <c r="C8" s="106">
        <f>'BAB (2)'!G33</f>
        <v>0.19353578275150493</v>
      </c>
      <c r="D8" s="74"/>
      <c r="F8" s="1" t="s">
        <v>97</v>
      </c>
      <c r="G8" s="31">
        <f>C17</f>
        <v>25</v>
      </c>
      <c r="I8" s="65"/>
    </row>
    <row r="9" spans="1:10">
      <c r="A9" s="74"/>
      <c r="B9" s="76" t="s">
        <v>88</v>
      </c>
      <c r="C9" s="106">
        <f>'BAB (2)'!H33</f>
        <v>0.17623356166892559</v>
      </c>
      <c r="D9" s="74"/>
      <c r="F9" s="70" t="s">
        <v>98</v>
      </c>
      <c r="G9" s="31">
        <f>SUM(G6:G8)+G4</f>
        <v>421.38657862253768</v>
      </c>
      <c r="I9" s="118"/>
      <c r="J9" s="118"/>
    </row>
    <row r="10" spans="1:10">
      <c r="A10" s="74"/>
      <c r="B10" s="76" t="s">
        <v>86</v>
      </c>
      <c r="C10" s="106">
        <v>0.35</v>
      </c>
      <c r="D10" s="74"/>
    </row>
    <row r="11" spans="1:10">
      <c r="A11" s="74"/>
      <c r="B11" s="76" t="s">
        <v>161</v>
      </c>
      <c r="C11" s="106">
        <v>0.19</v>
      </c>
      <c r="D11" s="74"/>
      <c r="F11" s="1" t="s">
        <v>99</v>
      </c>
      <c r="G11" s="31">
        <f>G9*C8</f>
        <v>81.553381334691409</v>
      </c>
      <c r="I11" s="65"/>
    </row>
    <row r="12" spans="1:10">
      <c r="A12" s="74"/>
      <c r="B12" s="74"/>
      <c r="C12" s="74"/>
      <c r="D12" s="74"/>
      <c r="F12" s="1" t="s">
        <v>100</v>
      </c>
      <c r="G12" s="31">
        <f>G9*C9</f>
        <v>74.262457590132556</v>
      </c>
      <c r="I12" s="65"/>
    </row>
    <row r="13" spans="1:10">
      <c r="A13" s="64"/>
      <c r="B13" s="64"/>
      <c r="C13" s="64"/>
      <c r="D13" s="64"/>
      <c r="F13" s="1" t="s">
        <v>101</v>
      </c>
      <c r="G13" s="31">
        <f>C18</f>
        <v>9.8000000000000007</v>
      </c>
      <c r="I13" s="65"/>
    </row>
    <row r="14" spans="1:10">
      <c r="A14" s="74"/>
      <c r="B14" s="74"/>
      <c r="C14" s="74"/>
      <c r="D14" s="74"/>
      <c r="F14" s="70" t="s">
        <v>73</v>
      </c>
      <c r="G14" s="31">
        <f>SUM(G11:G13)+G9</f>
        <v>587.00241754736169</v>
      </c>
      <c r="I14" s="118"/>
      <c r="J14" s="118"/>
    </row>
    <row r="15" spans="1:10">
      <c r="A15" s="74"/>
      <c r="B15" s="76" t="s">
        <v>90</v>
      </c>
      <c r="C15" s="79">
        <v>87</v>
      </c>
      <c r="D15" s="74"/>
    </row>
    <row r="16" spans="1:10">
      <c r="A16" s="74"/>
      <c r="B16" s="76" t="s">
        <v>33</v>
      </c>
      <c r="C16" s="79">
        <v>112</v>
      </c>
      <c r="D16" s="74"/>
      <c r="F16" s="1" t="s">
        <v>102</v>
      </c>
      <c r="G16" s="31">
        <f>G14*C10</f>
        <v>205.45084614157659</v>
      </c>
      <c r="I16" s="65"/>
    </row>
    <row r="17" spans="1:9">
      <c r="A17" s="74"/>
      <c r="B17" s="76" t="s">
        <v>106</v>
      </c>
      <c r="C17" s="79">
        <v>25</v>
      </c>
      <c r="D17" s="74"/>
      <c r="F17" s="70" t="s">
        <v>103</v>
      </c>
      <c r="G17" s="31">
        <f>G14+G16</f>
        <v>792.45326368893825</v>
      </c>
      <c r="I17" s="71"/>
    </row>
    <row r="18" spans="1:9">
      <c r="A18" s="74"/>
      <c r="B18" s="76" t="s">
        <v>91</v>
      </c>
      <c r="C18" s="79">
        <v>9.8000000000000007</v>
      </c>
      <c r="D18" s="74"/>
    </row>
    <row r="19" spans="1:9">
      <c r="A19" s="74"/>
      <c r="B19" s="74"/>
      <c r="C19" s="74"/>
      <c r="D19" s="74"/>
      <c r="F19" s="1" t="s">
        <v>104</v>
      </c>
      <c r="G19" s="31">
        <f>G17*C11</f>
        <v>150.56612010089827</v>
      </c>
      <c r="I19" s="65"/>
    </row>
    <row r="20" spans="1:9">
      <c r="F20" s="70" t="s">
        <v>105</v>
      </c>
      <c r="G20" s="31">
        <f>G17+G19</f>
        <v>943.01938378983652</v>
      </c>
      <c r="I20" s="71"/>
    </row>
  </sheetData>
  <mergeCells count="2">
    <mergeCell ref="I9:J9"/>
    <mergeCell ref="I14:J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BAB (2)</vt:lpstr>
      <vt:lpstr>Kuppelkalkulation</vt:lpstr>
      <vt:lpstr>Einkaufskalkulation</vt:lpstr>
      <vt:lpstr>Mountainbike A</vt:lpstr>
      <vt:lpstr>Handel</vt:lpstr>
      <vt:lpstr>Handel (2)</vt:lpstr>
      <vt:lpstr>Industrie</vt:lpstr>
      <vt:lpstr>Industrie (2)</vt:lpstr>
      <vt:lpstr>Kostenträgerzeitrechnung</vt:lpstr>
      <vt:lpstr>Tabelle4</vt:lpstr>
      <vt:lpstr>Direct Costing</vt:lpstr>
      <vt:lpstr>Fixkostendeckung</vt:lpstr>
      <vt:lpstr>VollTeil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Horst-Dieter</dc:creator>
  <cp:lastModifiedBy>Horst-Dieter</cp:lastModifiedBy>
  <dcterms:created xsi:type="dcterms:W3CDTF">2008-12-27T23:12:00Z</dcterms:created>
  <dcterms:modified xsi:type="dcterms:W3CDTF">2009-04-15T12:13:57Z</dcterms:modified>
</cp:coreProperties>
</file>