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embeddings/oleObject3.bin" ContentType="application/vnd.openxmlformats-officedocument.oleObject"/>
  <Override PartName="/xl/drawings/drawing8.xml" ContentType="application/vnd.openxmlformats-officedocument.drawing+xml"/>
  <Override PartName="/xl/embeddings/oleObject4.bin" ContentType="application/vnd.openxmlformats-officedocument.oleObject"/>
  <Override PartName="/xl/drawings/drawing9.xml" ContentType="application/vnd.openxmlformats-officedocument.drawing+xml"/>
  <Override PartName="/xl/embeddings/oleObject5.bin" ContentType="application/vnd.openxmlformats-officedocument.oleObject"/>
  <Override PartName="/xl/drawings/drawing10.xml" ContentType="application/vnd.openxmlformats-officedocument.drawing+xml"/>
  <Override PartName="/xl/embeddings/oleObject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90" windowWidth="15480" windowHeight="11640" tabRatio="937"/>
  </bookViews>
  <sheets>
    <sheet name="Beta.inv" sheetId="26" r:id="rId1"/>
    <sheet name="Beta.vert" sheetId="27" r:id="rId2"/>
    <sheet name="Binom.inv (Kritbinom)" sheetId="25" r:id="rId3"/>
    <sheet name="Binom.vert" sheetId="1" r:id="rId4"/>
    <sheet name="ChiQu.Inv.Re" sheetId="19" r:id="rId5"/>
    <sheet name="ChiQu.Inv" sheetId="51" r:id="rId6"/>
    <sheet name="ChiQu.Test" sheetId="18" r:id="rId7"/>
    <sheet name="ChiQu.Vert.Re" sheetId="5" r:id="rId8"/>
    <sheet name="ChiQu.Vert" sheetId="52" r:id="rId9"/>
    <sheet name="Expon.vert" sheetId="38" r:id="rId10"/>
    <sheet name="F-Tabelle für Fkrit" sheetId="50" r:id="rId11"/>
    <sheet name="F.inv.re" sheetId="28" r:id="rId12"/>
    <sheet name="F.inv" sheetId="53" r:id="rId13"/>
    <sheet name="Fisher" sheetId="40" r:id="rId14"/>
    <sheet name="Fisherinv" sheetId="39" r:id="rId15"/>
    <sheet name="Ftest" sheetId="29" r:id="rId16"/>
    <sheet name="F.vert.re" sheetId="30" r:id="rId17"/>
    <sheet name="F.vert" sheetId="54" r:id="rId18"/>
    <sheet name="Gamma.inv" sheetId="42" r:id="rId19"/>
    <sheet name="Gammaln" sheetId="41" r:id="rId20"/>
    <sheet name="Gammaln.genau" sheetId="55" r:id="rId21"/>
    <sheet name="Gamma.vert" sheetId="43" r:id="rId22"/>
    <sheet name="G.test" sheetId="32" r:id="rId23"/>
    <sheet name="Hypgeom.vert" sheetId="23" r:id="rId24"/>
    <sheet name="Konfidenz.norm" sheetId="37" r:id="rId25"/>
    <sheet name="Konfidenz.t" sheetId="57" r:id="rId26"/>
    <sheet name="Lognorm.inv" sheetId="36" r:id="rId27"/>
    <sheet name="Lognorm.vert" sheetId="35" r:id="rId28"/>
    <sheet name="Negbinom.vert" sheetId="24" r:id="rId29"/>
    <sheet name="Norm.inv" sheetId="17" r:id="rId30"/>
    <sheet name="Norm.s.inv" sheetId="47" r:id="rId31"/>
    <sheet name="Norm.s.vert" sheetId="48" r:id="rId32"/>
    <sheet name="Norm.vert" sheetId="2" r:id="rId33"/>
    <sheet name="Poisson.vert" sheetId="34" r:id="rId34"/>
    <sheet name="Standardisierung" sheetId="49" r:id="rId35"/>
    <sheet name="Stfehleryx" sheetId="46" r:id="rId36"/>
    <sheet name="T.inv.2s" sheetId="22" r:id="rId37"/>
    <sheet name="T.inv" sheetId="58" r:id="rId38"/>
    <sheet name="T.test" sheetId="21" r:id="rId39"/>
    <sheet name="T.vert.2s" sheetId="20" r:id="rId40"/>
    <sheet name="T.vert" sheetId="60" r:id="rId41"/>
    <sheet name="T.vert.re" sheetId="59" r:id="rId42"/>
    <sheet name="Variationen" sheetId="45" r:id="rId43"/>
    <sheet name="Wahrschbereich" sheetId="31" r:id="rId44"/>
    <sheet name="Weibull.vert" sheetId="44" r:id="rId45"/>
  </sheets>
  <externalReferences>
    <externalReference r:id="rId46"/>
  </externalReferences>
  <definedNames>
    <definedName name="GEOM">#REF!</definedName>
    <definedName name="Jahr" localSheetId="8">[1]Wettbewerbsanalyse!#REF!</definedName>
    <definedName name="Jahr" localSheetId="12">[1]Wettbewerbsanalyse!#REF!</definedName>
    <definedName name="Jahr" localSheetId="17">[1]Wettbewerbsanalyse!#REF!</definedName>
    <definedName name="Jahr" localSheetId="20">[1]Wettbewerbsanalyse!#REF!</definedName>
    <definedName name="Jahr" localSheetId="25">[1]Wettbewerbsanalyse!#REF!</definedName>
    <definedName name="Jahr" localSheetId="37">[1]Wettbewerbsanalyse!#REF!</definedName>
    <definedName name="Jahr" localSheetId="40">[1]Wettbewerbsanalyse!#REF!</definedName>
    <definedName name="Jahr" localSheetId="41">[1]Wettbewerbsanalyse!#REF!</definedName>
    <definedName name="Jahr">[1]Wettbewerbsanalyse!#REF!</definedName>
    <definedName name="Monat" localSheetId="8">[1]Wettbewerbsanalyse!#REF!</definedName>
    <definedName name="Monat" localSheetId="12">[1]Wettbewerbsanalyse!#REF!</definedName>
    <definedName name="Monat" localSheetId="17">[1]Wettbewerbsanalyse!#REF!</definedName>
    <definedName name="Monat" localSheetId="20">[1]Wettbewerbsanalyse!#REF!</definedName>
    <definedName name="Monat" localSheetId="25">[1]Wettbewerbsanalyse!#REF!</definedName>
    <definedName name="Monat" localSheetId="37">[1]Wettbewerbsanalyse!#REF!</definedName>
    <definedName name="Monat" localSheetId="40">[1]Wettbewerbsanalyse!#REF!</definedName>
    <definedName name="Monat" localSheetId="41">[1]Wettbewerbsanalyse!#REF!</definedName>
    <definedName name="Monat">[1]Wettbewerbsanalyse!#REF!</definedName>
    <definedName name="UMSATZ">#REF!</definedName>
    <definedName name="Vergleichsart" localSheetId="8">[1]Wettbewerbsanalyse!#REF!</definedName>
    <definedName name="Vergleichsart" localSheetId="12">[1]Wettbewerbsanalyse!#REF!</definedName>
    <definedName name="Vergleichsart" localSheetId="17">[1]Wettbewerbsanalyse!#REF!</definedName>
    <definedName name="Vergleichsart" localSheetId="20">[1]Wettbewerbsanalyse!#REF!</definedName>
    <definedName name="Vergleichsart" localSheetId="25">[1]Wettbewerbsanalyse!#REF!</definedName>
    <definedName name="Vergleichsart" localSheetId="37">[1]Wettbewerbsanalyse!#REF!</definedName>
    <definedName name="Vergleichsart" localSheetId="40">[1]Wettbewerbsanalyse!#REF!</definedName>
    <definedName name="Vergleichsart" localSheetId="41">[1]Wettbewerbsanalyse!#REF!</definedName>
    <definedName name="Vergleichsart">[1]Wettbewerbsanalyse!#REF!</definedName>
    <definedName name="WertComboBox2" localSheetId="8">[1]Wettbewerbsanalyse!#REF!</definedName>
    <definedName name="WertComboBox2" localSheetId="12">[1]Wettbewerbsanalyse!#REF!</definedName>
    <definedName name="WertComboBox2" localSheetId="17">[1]Wettbewerbsanalyse!#REF!</definedName>
    <definedName name="WertComboBox2" localSheetId="20">[1]Wettbewerbsanalyse!#REF!</definedName>
    <definedName name="WertComboBox2" localSheetId="25">[1]Wettbewerbsanalyse!#REF!</definedName>
    <definedName name="WertComboBox2" localSheetId="37">[1]Wettbewerbsanalyse!#REF!</definedName>
    <definedName name="WertComboBox2" localSheetId="40">[1]Wettbewerbsanalyse!#REF!</definedName>
    <definedName name="WertComboBox2" localSheetId="41">[1]Wettbewerbsanalyse!#REF!</definedName>
    <definedName name="WertComboBox2">[1]Wettbewerbsanalyse!#REF!</definedName>
    <definedName name="WertComboBox3" localSheetId="8">[1]Wettbewerbsanalyse!#REF!</definedName>
    <definedName name="WertComboBox3" localSheetId="12">[1]Wettbewerbsanalyse!#REF!</definedName>
    <definedName name="WertComboBox3" localSheetId="17">[1]Wettbewerbsanalyse!#REF!</definedName>
    <definedName name="WertComboBox3" localSheetId="20">[1]Wettbewerbsanalyse!#REF!</definedName>
    <definedName name="WertComboBox3" localSheetId="25">[1]Wettbewerbsanalyse!#REF!</definedName>
    <definedName name="WertComboBox3" localSheetId="37">[1]Wettbewerbsanalyse!#REF!</definedName>
    <definedName name="WertComboBox3" localSheetId="40">[1]Wettbewerbsanalyse!#REF!</definedName>
    <definedName name="WertComboBox3" localSheetId="41">[1]Wettbewerbsanalyse!#REF!</definedName>
    <definedName name="WertComboBox3">[1]Wettbewerbsanalyse!#REF!</definedName>
    <definedName name="WertComboBox4" localSheetId="8">[1]Wettbewerbsanalyse!#REF!</definedName>
    <definedName name="WertComboBox4" localSheetId="12">[1]Wettbewerbsanalyse!#REF!</definedName>
    <definedName name="WertComboBox4" localSheetId="17">[1]Wettbewerbsanalyse!#REF!</definedName>
    <definedName name="WertComboBox4" localSheetId="20">[1]Wettbewerbsanalyse!#REF!</definedName>
    <definedName name="WertComboBox4" localSheetId="25">[1]Wettbewerbsanalyse!#REF!</definedName>
    <definedName name="WertComboBox4" localSheetId="37">[1]Wettbewerbsanalyse!#REF!</definedName>
    <definedName name="WertComboBox4" localSheetId="40">[1]Wettbewerbsanalyse!#REF!</definedName>
    <definedName name="WertComboBox4" localSheetId="41">[1]Wettbewerbsanalyse!#REF!</definedName>
    <definedName name="WertComboBox4">[1]Wettbewerbsanalyse!#REF!</definedName>
  </definedNames>
  <calcPr calcId="144525"/>
</workbook>
</file>

<file path=xl/calcChain.xml><?xml version="1.0" encoding="utf-8"?>
<calcChain xmlns="http://schemas.openxmlformats.org/spreadsheetml/2006/main">
  <c r="E14" i="35" l="1"/>
  <c r="F13" i="23" l="1"/>
  <c r="G13" i="23"/>
  <c r="H13" i="23"/>
  <c r="I13" i="23"/>
  <c r="E13" i="23"/>
  <c r="D13" i="23"/>
  <c r="C13" i="23"/>
  <c r="C25" i="27" l="1"/>
  <c r="C26" i="27"/>
  <c r="C27" i="27"/>
  <c r="C28" i="27"/>
  <c r="C29" i="27"/>
  <c r="C30" i="27"/>
  <c r="C31" i="27"/>
  <c r="C32" i="27"/>
  <c r="C33" i="27"/>
  <c r="C34" i="27"/>
  <c r="C35" i="27"/>
  <c r="C36" i="27"/>
  <c r="C37" i="27"/>
  <c r="C38" i="27"/>
  <c r="C39" i="27"/>
  <c r="C40" i="27"/>
  <c r="C41" i="27"/>
  <c r="C42" i="27"/>
  <c r="C43" i="27"/>
  <c r="C44" i="27"/>
  <c r="C45" i="27"/>
  <c r="C46" i="27"/>
  <c r="C47" i="27"/>
  <c r="C48" i="27"/>
  <c r="C49" i="27"/>
  <c r="C50" i="27"/>
  <c r="C51" i="27"/>
  <c r="C52" i="27"/>
  <c r="C53" i="27"/>
  <c r="C54" i="27"/>
  <c r="C55" i="27"/>
  <c r="C56" i="27"/>
  <c r="C57" i="27"/>
  <c r="C58" i="27"/>
  <c r="C59" i="27"/>
  <c r="C60" i="27"/>
  <c r="C61" i="27"/>
  <c r="C62" i="27"/>
  <c r="C63" i="27"/>
  <c r="C64" i="27"/>
  <c r="C65" i="27"/>
  <c r="C66" i="27"/>
  <c r="C67" i="27"/>
  <c r="C68" i="27"/>
  <c r="C69" i="27"/>
  <c r="C70" i="27"/>
  <c r="C71" i="27"/>
  <c r="C72" i="27"/>
  <c r="C73" i="27"/>
  <c r="C74" i="27"/>
  <c r="C75" i="27"/>
  <c r="C76" i="27"/>
  <c r="C77" i="27"/>
  <c r="C78" i="27"/>
  <c r="C79" i="27"/>
  <c r="C80" i="27"/>
  <c r="C81" i="27"/>
  <c r="C82" i="27"/>
  <c r="C83" i="27"/>
  <c r="C84" i="27"/>
  <c r="C85" i="27"/>
  <c r="C86" i="27"/>
  <c r="C87" i="27"/>
  <c r="C88" i="27"/>
  <c r="C89" i="27"/>
  <c r="C90" i="27"/>
  <c r="C91" i="27"/>
  <c r="C92" i="27"/>
  <c r="C93" i="27"/>
  <c r="C94" i="27"/>
  <c r="C95" i="27"/>
  <c r="C96" i="27"/>
  <c r="C97" i="27"/>
  <c r="C98" i="27"/>
  <c r="C99" i="27"/>
  <c r="C100" i="27"/>
  <c r="C101" i="27"/>
  <c r="C102" i="27"/>
  <c r="C103" i="27"/>
  <c r="C104" i="27"/>
  <c r="C105" i="27"/>
  <c r="C106" i="27"/>
  <c r="C107" i="27"/>
  <c r="C108" i="27"/>
  <c r="C109" i="27"/>
  <c r="C110" i="27"/>
  <c r="C111" i="27"/>
  <c r="C112" i="27"/>
  <c r="C113" i="27"/>
  <c r="C114" i="27"/>
  <c r="C115" i="27"/>
  <c r="C116" i="27"/>
  <c r="C117" i="27"/>
  <c r="C118" i="27"/>
  <c r="C119" i="27"/>
  <c r="C120" i="27"/>
  <c r="C121" i="27"/>
  <c r="C122" i="27"/>
  <c r="C123" i="27"/>
  <c r="C24" i="27"/>
  <c r="C23" i="27"/>
  <c r="E15" i="27"/>
  <c r="H20" i="37" l="1"/>
  <c r="G20" i="37"/>
  <c r="E11" i="41" l="1"/>
  <c r="C18" i="19"/>
  <c r="E16" i="44"/>
  <c r="E15" i="44"/>
  <c r="B24" i="20"/>
  <c r="B21" i="20"/>
  <c r="B22" i="21"/>
  <c r="B23" i="22"/>
  <c r="B26" i="22"/>
  <c r="B20" i="22"/>
  <c r="H29" i="34"/>
  <c r="H18" i="34"/>
  <c r="E11" i="48"/>
  <c r="E12"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47" i="48"/>
  <c r="E48" i="48"/>
  <c r="E49" i="48"/>
  <c r="E10" i="48"/>
  <c r="E11" i="47"/>
  <c r="E12" i="47"/>
  <c r="E13" i="47"/>
  <c r="E14" i="47"/>
  <c r="E15" i="47"/>
  <c r="E16" i="47"/>
  <c r="E17" i="47"/>
  <c r="E18" i="47"/>
  <c r="E19" i="47"/>
  <c r="E20" i="47"/>
  <c r="E21" i="47"/>
  <c r="E22" i="47"/>
  <c r="E23" i="47"/>
  <c r="E24" i="47"/>
  <c r="E25" i="47"/>
  <c r="E26" i="47"/>
  <c r="E27" i="47"/>
  <c r="E28" i="47"/>
  <c r="E29" i="47"/>
  <c r="E30" i="47"/>
  <c r="E31" i="47"/>
  <c r="E32" i="47"/>
  <c r="E33" i="47"/>
  <c r="E34" i="47"/>
  <c r="E35" i="47"/>
  <c r="E36" i="47"/>
  <c r="E37" i="47"/>
  <c r="E38" i="47"/>
  <c r="E39" i="47"/>
  <c r="E40" i="47"/>
  <c r="E41" i="47"/>
  <c r="E42" i="47"/>
  <c r="E43" i="47"/>
  <c r="E44" i="47"/>
  <c r="E45" i="47"/>
  <c r="E46" i="47"/>
  <c r="E47" i="47"/>
  <c r="E48" i="47"/>
  <c r="E49" i="47"/>
  <c r="E10" i="47"/>
  <c r="D14" i="2"/>
  <c r="D15" i="2"/>
  <c r="B19" i="2"/>
  <c r="D21" i="17"/>
  <c r="D13" i="17"/>
  <c r="F14" i="24"/>
  <c r="E13" i="36"/>
  <c r="E13" i="25"/>
  <c r="F13" i="25"/>
  <c r="G13" i="25"/>
  <c r="H13" i="25"/>
  <c r="I13" i="25"/>
  <c r="D13" i="25"/>
  <c r="D9" i="32"/>
  <c r="E9" i="32"/>
  <c r="D11" i="32"/>
  <c r="D26" i="43"/>
  <c r="D27" i="43"/>
  <c r="D28" i="43"/>
  <c r="D29" i="43"/>
  <c r="D30" i="43"/>
  <c r="D31" i="43"/>
  <c r="D32" i="43"/>
  <c r="D33" i="43"/>
  <c r="D34" i="43"/>
  <c r="D35" i="43"/>
  <c r="D36" i="43"/>
  <c r="D37" i="43"/>
  <c r="D38" i="43"/>
  <c r="D39" i="43"/>
  <c r="D40" i="43"/>
  <c r="D41" i="43"/>
  <c r="D42" i="43"/>
  <c r="D43" i="43"/>
  <c r="D44" i="43"/>
  <c r="D45" i="43"/>
  <c r="D46" i="43"/>
  <c r="D47" i="43"/>
  <c r="D48" i="43"/>
  <c r="D49" i="43"/>
  <c r="D50" i="43"/>
  <c r="D51" i="43"/>
  <c r="D52" i="43"/>
  <c r="D53" i="43"/>
  <c r="D54" i="43"/>
  <c r="D55" i="43"/>
  <c r="D56" i="43"/>
  <c r="D57" i="43"/>
  <c r="D58" i="43"/>
  <c r="D59" i="43"/>
  <c r="D60" i="43"/>
  <c r="D61" i="43"/>
  <c r="D62" i="43"/>
  <c r="D63" i="43"/>
  <c r="D64" i="43"/>
  <c r="D65" i="43"/>
  <c r="D66" i="43"/>
  <c r="D67" i="43"/>
  <c r="D68" i="43"/>
  <c r="D69" i="43"/>
  <c r="D70" i="43"/>
  <c r="D71" i="43"/>
  <c r="D72" i="43"/>
  <c r="D73" i="43"/>
  <c r="D74" i="43"/>
  <c r="D75" i="43"/>
  <c r="D76" i="43"/>
  <c r="D77" i="43"/>
  <c r="D78" i="43"/>
  <c r="D79" i="43"/>
  <c r="D80" i="43"/>
  <c r="D81" i="43"/>
  <c r="D82" i="43"/>
  <c r="D83" i="43"/>
  <c r="D84" i="43"/>
  <c r="D85" i="43"/>
  <c r="D86" i="43"/>
  <c r="D87" i="43"/>
  <c r="D88" i="43"/>
  <c r="D89" i="43"/>
  <c r="D90" i="43"/>
  <c r="D91" i="43"/>
  <c r="D92" i="43"/>
  <c r="D93" i="43"/>
  <c r="D94" i="43"/>
  <c r="D95" i="43"/>
  <c r="D96" i="43"/>
  <c r="D97" i="43"/>
  <c r="D98" i="43"/>
  <c r="D99" i="43"/>
  <c r="D100" i="43"/>
  <c r="D101" i="43"/>
  <c r="D102" i="43"/>
  <c r="D103" i="43"/>
  <c r="D104" i="43"/>
  <c r="D105" i="43"/>
  <c r="D106" i="43"/>
  <c r="D107" i="43"/>
  <c r="D108" i="43"/>
  <c r="D109" i="43"/>
  <c r="D110" i="43"/>
  <c r="D111" i="43"/>
  <c r="D112" i="43"/>
  <c r="D113" i="43"/>
  <c r="D114" i="43"/>
  <c r="D115" i="43"/>
  <c r="D116" i="43"/>
  <c r="D117" i="43"/>
  <c r="D118" i="43"/>
  <c r="D119" i="43"/>
  <c r="D120" i="43"/>
  <c r="D121" i="43"/>
  <c r="D122" i="43"/>
  <c r="D123" i="43"/>
  <c r="D124" i="43"/>
  <c r="D125" i="43"/>
  <c r="D25" i="43"/>
  <c r="C26" i="43"/>
  <c r="C27" i="43"/>
  <c r="C28" i="43"/>
  <c r="C29" i="43"/>
  <c r="C30" i="43"/>
  <c r="C31" i="43"/>
  <c r="C32" i="43"/>
  <c r="C33" i="43"/>
  <c r="C34" i="43"/>
  <c r="C35" i="43"/>
  <c r="C36"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63" i="43"/>
  <c r="C64" i="43"/>
  <c r="C65" i="43"/>
  <c r="C66" i="43"/>
  <c r="C67" i="43"/>
  <c r="C68" i="43"/>
  <c r="C69" i="43"/>
  <c r="C70" i="43"/>
  <c r="C71" i="43"/>
  <c r="C72" i="43"/>
  <c r="C73" i="43"/>
  <c r="C74" i="43"/>
  <c r="C75" i="43"/>
  <c r="C76" i="43"/>
  <c r="C77" i="43"/>
  <c r="C78" i="43"/>
  <c r="C79" i="43"/>
  <c r="C80" i="43"/>
  <c r="C81" i="43"/>
  <c r="C82" i="43"/>
  <c r="C83" i="43"/>
  <c r="C84" i="43"/>
  <c r="C85" i="43"/>
  <c r="C86" i="43"/>
  <c r="C87" i="43"/>
  <c r="C88" i="43"/>
  <c r="C89" i="43"/>
  <c r="C90" i="43"/>
  <c r="C91" i="43"/>
  <c r="C92" i="43"/>
  <c r="C93" i="43"/>
  <c r="C94" i="43"/>
  <c r="C95" i="43"/>
  <c r="C96" i="43"/>
  <c r="C97" i="43"/>
  <c r="C98" i="43"/>
  <c r="C99" i="43"/>
  <c r="C100" i="43"/>
  <c r="C101" i="43"/>
  <c r="C102" i="43"/>
  <c r="C103" i="43"/>
  <c r="C104" i="43"/>
  <c r="C105" i="43"/>
  <c r="C106" i="43"/>
  <c r="C107" i="43"/>
  <c r="C108" i="43"/>
  <c r="C109" i="43"/>
  <c r="C110" i="43"/>
  <c r="C111" i="43"/>
  <c r="C112" i="43"/>
  <c r="C113" i="43"/>
  <c r="C114" i="43"/>
  <c r="C115" i="43"/>
  <c r="C116" i="43"/>
  <c r="C117" i="43"/>
  <c r="C118" i="43"/>
  <c r="C119" i="43"/>
  <c r="C120" i="43"/>
  <c r="C121" i="43"/>
  <c r="C122" i="43"/>
  <c r="C123" i="43"/>
  <c r="C124" i="43"/>
  <c r="C125" i="43"/>
  <c r="C25" i="43"/>
  <c r="E16" i="43"/>
  <c r="E14" i="43"/>
  <c r="I25" i="42"/>
  <c r="E22" i="42"/>
  <c r="E23" i="42"/>
  <c r="E24" i="42"/>
  <c r="E25" i="42"/>
  <c r="E26" i="42"/>
  <c r="E27" i="42"/>
  <c r="E28" i="42"/>
  <c r="E29" i="42"/>
  <c r="E30" i="42"/>
  <c r="E31" i="42"/>
  <c r="E32" i="42"/>
  <c r="E33" i="42"/>
  <c r="E34" i="42"/>
  <c r="E35" i="42"/>
  <c r="E36" i="42"/>
  <c r="E37" i="42"/>
  <c r="E38" i="42"/>
  <c r="E39" i="42"/>
  <c r="E40" i="42"/>
  <c r="E41" i="42"/>
  <c r="E42" i="42"/>
  <c r="E43" i="42"/>
  <c r="E44" i="42"/>
  <c r="E45" i="42"/>
  <c r="E46" i="42"/>
  <c r="E47" i="42"/>
  <c r="E48" i="42"/>
  <c r="E49" i="42"/>
  <c r="E50" i="42"/>
  <c r="E51" i="42"/>
  <c r="E52" i="42"/>
  <c r="E53" i="42"/>
  <c r="E54" i="42"/>
  <c r="E55" i="42"/>
  <c r="E56" i="42"/>
  <c r="E57" i="42"/>
  <c r="E58" i="42"/>
  <c r="E59" i="42"/>
  <c r="E60" i="42"/>
  <c r="E61" i="42"/>
  <c r="E62" i="42"/>
  <c r="E63" i="42"/>
  <c r="E64" i="42"/>
  <c r="E65" i="42"/>
  <c r="E66" i="42"/>
  <c r="E67" i="42"/>
  <c r="E68" i="42"/>
  <c r="E69" i="42"/>
  <c r="E70" i="42"/>
  <c r="E71" i="42"/>
  <c r="E72" i="42"/>
  <c r="E73" i="42"/>
  <c r="E74" i="42"/>
  <c r="E75" i="42"/>
  <c r="E76" i="42"/>
  <c r="E77" i="42"/>
  <c r="E78" i="42"/>
  <c r="E79" i="42"/>
  <c r="E80" i="42"/>
  <c r="E81" i="42"/>
  <c r="E82" i="42"/>
  <c r="E83" i="42"/>
  <c r="E84" i="42"/>
  <c r="E85" i="42"/>
  <c r="E86" i="42"/>
  <c r="E87" i="42"/>
  <c r="E88" i="42"/>
  <c r="E89" i="42"/>
  <c r="E90" i="42"/>
  <c r="E91" i="42"/>
  <c r="E92" i="42"/>
  <c r="E93" i="42"/>
  <c r="E94" i="42"/>
  <c r="E95" i="42"/>
  <c r="E96" i="42"/>
  <c r="E97" i="42"/>
  <c r="E98" i="42"/>
  <c r="E99" i="42"/>
  <c r="E100" i="42"/>
  <c r="E101" i="42"/>
  <c r="E102" i="42"/>
  <c r="E103" i="42"/>
  <c r="E104" i="42"/>
  <c r="E105" i="42"/>
  <c r="E106" i="42"/>
  <c r="E107" i="42"/>
  <c r="E108" i="42"/>
  <c r="E109" i="42"/>
  <c r="E110" i="42"/>
  <c r="E111" i="42"/>
  <c r="E112" i="42"/>
  <c r="E113" i="42"/>
  <c r="E114" i="42"/>
  <c r="E115" i="42"/>
  <c r="E116" i="42"/>
  <c r="E117" i="42"/>
  <c r="E118" i="42"/>
  <c r="E119" i="42"/>
  <c r="E21" i="42"/>
  <c r="D22" i="42"/>
  <c r="D23" i="42"/>
  <c r="D24" i="42"/>
  <c r="D25" i="42"/>
  <c r="D26" i="42"/>
  <c r="D27" i="42"/>
  <c r="D28" i="42"/>
  <c r="D29" i="42"/>
  <c r="D30" i="42"/>
  <c r="D31" i="42"/>
  <c r="D32" i="42"/>
  <c r="D33" i="42"/>
  <c r="D34" i="42"/>
  <c r="D35" i="42"/>
  <c r="D36" i="42"/>
  <c r="D37" i="42"/>
  <c r="D38" i="42"/>
  <c r="D39" i="42"/>
  <c r="D40" i="42"/>
  <c r="D41" i="42"/>
  <c r="D42" i="42"/>
  <c r="D43" i="42"/>
  <c r="D44" i="42"/>
  <c r="D45" i="42"/>
  <c r="D46" i="42"/>
  <c r="D47" i="42"/>
  <c r="D48" i="42"/>
  <c r="D49" i="42"/>
  <c r="D50" i="42"/>
  <c r="D51" i="42"/>
  <c r="D52" i="42"/>
  <c r="D53" i="42"/>
  <c r="D54" i="42"/>
  <c r="D55" i="42"/>
  <c r="D56" i="42"/>
  <c r="D57" i="42"/>
  <c r="D58" i="42"/>
  <c r="D59" i="42"/>
  <c r="D60" i="42"/>
  <c r="D61" i="42"/>
  <c r="D62" i="42"/>
  <c r="D63" i="42"/>
  <c r="D64" i="42"/>
  <c r="D65" i="42"/>
  <c r="D66" i="42"/>
  <c r="D67" i="42"/>
  <c r="D68" i="42"/>
  <c r="D69" i="42"/>
  <c r="D70" i="42"/>
  <c r="D71" i="42"/>
  <c r="D72" i="42"/>
  <c r="D73" i="42"/>
  <c r="D74" i="42"/>
  <c r="D75" i="42"/>
  <c r="D76" i="42"/>
  <c r="D77" i="42"/>
  <c r="D78" i="42"/>
  <c r="D79" i="42"/>
  <c r="D80" i="42"/>
  <c r="D81" i="42"/>
  <c r="D82" i="42"/>
  <c r="D83" i="42"/>
  <c r="D84" i="42"/>
  <c r="D85" i="42"/>
  <c r="D86" i="42"/>
  <c r="D87" i="42"/>
  <c r="D88" i="42"/>
  <c r="D89" i="42"/>
  <c r="D90" i="42"/>
  <c r="D91" i="42"/>
  <c r="D92" i="42"/>
  <c r="D93" i="42"/>
  <c r="D94" i="42"/>
  <c r="D95" i="42"/>
  <c r="D96" i="42"/>
  <c r="D97" i="42"/>
  <c r="D98" i="42"/>
  <c r="D99" i="42"/>
  <c r="D100" i="42"/>
  <c r="D101" i="42"/>
  <c r="D102" i="42"/>
  <c r="D103" i="42"/>
  <c r="D104" i="42"/>
  <c r="D105" i="42"/>
  <c r="D106" i="42"/>
  <c r="D107" i="42"/>
  <c r="D108" i="42"/>
  <c r="D109" i="42"/>
  <c r="D110" i="42"/>
  <c r="D111" i="42"/>
  <c r="D112" i="42"/>
  <c r="D113" i="42"/>
  <c r="D114" i="42"/>
  <c r="D115" i="42"/>
  <c r="D116" i="42"/>
  <c r="D117" i="42"/>
  <c r="D118" i="42"/>
  <c r="D119" i="42"/>
  <c r="D120" i="42"/>
  <c r="D20" i="42"/>
  <c r="C20" i="42"/>
  <c r="D21" i="42"/>
  <c r="C120" i="42"/>
  <c r="C119" i="42"/>
  <c r="C118" i="42"/>
  <c r="C117" i="42"/>
  <c r="C116" i="42"/>
  <c r="C115" i="42"/>
  <c r="C114" i="42"/>
  <c r="C113" i="42"/>
  <c r="C112" i="42"/>
  <c r="C111" i="42"/>
  <c r="C110" i="42"/>
  <c r="C109" i="42"/>
  <c r="C108" i="42"/>
  <c r="C107" i="42"/>
  <c r="C106" i="42"/>
  <c r="C105" i="42"/>
  <c r="C104" i="42"/>
  <c r="C103" i="42"/>
  <c r="C102" i="42"/>
  <c r="C101" i="42"/>
  <c r="C100" i="42"/>
  <c r="C99" i="42"/>
  <c r="C98" i="42"/>
  <c r="C97" i="42"/>
  <c r="C96" i="42"/>
  <c r="C95" i="42"/>
  <c r="C94" i="42"/>
  <c r="C93" i="42"/>
  <c r="C92" i="42"/>
  <c r="C91" i="42"/>
  <c r="C90" i="42"/>
  <c r="C89" i="42"/>
  <c r="C88" i="42"/>
  <c r="C87" i="42"/>
  <c r="C86" i="42"/>
  <c r="C85" i="42"/>
  <c r="C84" i="42"/>
  <c r="C83" i="42"/>
  <c r="C82" i="42"/>
  <c r="C81" i="42"/>
  <c r="C80" i="42"/>
  <c r="C79" i="42"/>
  <c r="C78" i="42"/>
  <c r="C77" i="42"/>
  <c r="C76" i="42"/>
  <c r="C75" i="42"/>
  <c r="C74" i="42"/>
  <c r="C73" i="42"/>
  <c r="C72" i="42"/>
  <c r="C71" i="42"/>
  <c r="C70" i="42"/>
  <c r="C69" i="42"/>
  <c r="C68" i="42"/>
  <c r="C67" i="42"/>
  <c r="C66" i="42"/>
  <c r="C65" i="42"/>
  <c r="C64" i="42"/>
  <c r="C63" i="42"/>
  <c r="C62" i="42"/>
  <c r="C61" i="42"/>
  <c r="C60" i="42"/>
  <c r="C59" i="42"/>
  <c r="C58" i="42"/>
  <c r="C57" i="42"/>
  <c r="C56" i="42"/>
  <c r="C55" i="42"/>
  <c r="C54" i="42"/>
  <c r="C53" i="42"/>
  <c r="C52" i="42"/>
  <c r="C51" i="42"/>
  <c r="C50" i="42"/>
  <c r="C49" i="42"/>
  <c r="C48" i="42"/>
  <c r="C47" i="42"/>
  <c r="C46" i="42"/>
  <c r="C45" i="42"/>
  <c r="C44" i="42"/>
  <c r="C43" i="42"/>
  <c r="C42" i="42"/>
  <c r="C41" i="42"/>
  <c r="C40" i="42"/>
  <c r="C39" i="42"/>
  <c r="C38" i="42"/>
  <c r="C37" i="42"/>
  <c r="C36" i="42"/>
  <c r="C35" i="42"/>
  <c r="C34" i="42"/>
  <c r="C33" i="42"/>
  <c r="C32" i="42"/>
  <c r="C31" i="42"/>
  <c r="C30" i="42"/>
  <c r="C29" i="42"/>
  <c r="C28" i="42"/>
  <c r="C27" i="42"/>
  <c r="C26" i="42"/>
  <c r="C25" i="42"/>
  <c r="C24" i="42"/>
  <c r="C23" i="42"/>
  <c r="C22" i="42"/>
  <c r="C21" i="42"/>
  <c r="E12" i="42"/>
  <c r="H24" i="30"/>
  <c r="F18" i="30"/>
  <c r="F17" i="30"/>
  <c r="F19" i="30"/>
  <c r="H14" i="30"/>
  <c r="B33" i="30"/>
  <c r="H13" i="30"/>
  <c r="H24" i="28"/>
  <c r="G25" i="38"/>
  <c r="H25" i="38"/>
  <c r="I25" i="38"/>
  <c r="F25" i="38"/>
  <c r="D30" i="5"/>
  <c r="D23" i="5"/>
  <c r="C18" i="18"/>
  <c r="D24" i="19"/>
  <c r="D29" i="1"/>
  <c r="D28" i="1"/>
  <c r="D15" i="1"/>
  <c r="D14" i="1"/>
  <c r="B18" i="1"/>
  <c r="E24" i="26"/>
  <c r="E25" i="26"/>
  <c r="E26" i="26"/>
  <c r="E27" i="26"/>
  <c r="E28" i="26"/>
  <c r="E29" i="26"/>
  <c r="E30" i="26"/>
  <c r="E31" i="26"/>
  <c r="E32" i="26"/>
  <c r="E33" i="26"/>
  <c r="E34" i="26"/>
  <c r="E35" i="26"/>
  <c r="E36" i="26"/>
  <c r="E37" i="26"/>
  <c r="E38" i="26"/>
  <c r="E39" i="26"/>
  <c r="E40" i="26"/>
  <c r="E41" i="26"/>
  <c r="E42" i="26"/>
  <c r="E43" i="26"/>
  <c r="E44" i="26"/>
  <c r="E45" i="26"/>
  <c r="E46" i="26"/>
  <c r="E47" i="26"/>
  <c r="E48" i="26"/>
  <c r="E49" i="26"/>
  <c r="E50" i="26"/>
  <c r="E51" i="26"/>
  <c r="E52" i="26"/>
  <c r="E53" i="26"/>
  <c r="E54" i="26"/>
  <c r="E55" i="26"/>
  <c r="E56" i="26"/>
  <c r="E57" i="26"/>
  <c r="E58" i="26"/>
  <c r="E59" i="26"/>
  <c r="E60" i="26"/>
  <c r="E61" i="26"/>
  <c r="E62" i="26"/>
  <c r="E63" i="26"/>
  <c r="E64" i="26"/>
  <c r="E65" i="26"/>
  <c r="E66" i="26"/>
  <c r="E67" i="26"/>
  <c r="E68" i="26"/>
  <c r="E69" i="26"/>
  <c r="E70" i="26"/>
  <c r="E71" i="26"/>
  <c r="E72" i="26"/>
  <c r="E73" i="26"/>
  <c r="E74" i="26"/>
  <c r="E75" i="26"/>
  <c r="E76" i="26"/>
  <c r="E77" i="26"/>
  <c r="E78" i="26"/>
  <c r="E79" i="26"/>
  <c r="E80" i="26"/>
  <c r="E81" i="26"/>
  <c r="E82" i="26"/>
  <c r="E83" i="26"/>
  <c r="E84" i="26"/>
  <c r="E85" i="26"/>
  <c r="E86" i="26"/>
  <c r="E87" i="26"/>
  <c r="E88" i="26"/>
  <c r="E89" i="26"/>
  <c r="E90" i="26"/>
  <c r="E91" i="26"/>
  <c r="E92" i="26"/>
  <c r="E93" i="26"/>
  <c r="E94" i="26"/>
  <c r="E95" i="26"/>
  <c r="E96" i="26"/>
  <c r="E97" i="26"/>
  <c r="E98" i="26"/>
  <c r="E99" i="26"/>
  <c r="E100" i="26"/>
  <c r="E101" i="26"/>
  <c r="E102" i="26"/>
  <c r="E103" i="26"/>
  <c r="E104" i="26"/>
  <c r="E105" i="26"/>
  <c r="E106" i="26"/>
  <c r="E107" i="26"/>
  <c r="E108" i="26"/>
  <c r="E109" i="26"/>
  <c r="E110" i="26"/>
  <c r="E111" i="26"/>
  <c r="E112" i="26"/>
  <c r="E113" i="26"/>
  <c r="E114" i="26"/>
  <c r="E115" i="26"/>
  <c r="E116" i="26"/>
  <c r="E117" i="26"/>
  <c r="E118" i="26"/>
  <c r="E119" i="26"/>
  <c r="E120" i="26"/>
  <c r="E121" i="26"/>
  <c r="E23" i="26"/>
  <c r="E14" i="26"/>
  <c r="B22" i="29"/>
  <c r="F11" i="29"/>
  <c r="F10" i="29"/>
  <c r="D16" i="31"/>
  <c r="D15" i="31"/>
  <c r="F10" i="20"/>
  <c r="F9" i="22"/>
  <c r="F9" i="20"/>
  <c r="F12" i="22"/>
  <c r="F11" i="22"/>
  <c r="F13" i="22"/>
  <c r="F8" i="22"/>
  <c r="D27" i="2"/>
  <c r="B31" i="2"/>
  <c r="D28" i="2"/>
  <c r="B32" i="2"/>
  <c r="B18" i="2"/>
  <c r="E11" i="5"/>
  <c r="E11" i="18"/>
  <c r="E11" i="32"/>
  <c r="C18" i="45"/>
  <c r="B18" i="45"/>
  <c r="C21" i="45"/>
  <c r="C40" i="46"/>
  <c r="D39" i="46"/>
  <c r="C39" i="46"/>
  <c r="G14" i="47"/>
  <c r="G16" i="47"/>
  <c r="G14" i="48"/>
  <c r="D49" i="48"/>
  <c r="G16" i="48"/>
  <c r="D10" i="48"/>
  <c r="G15" i="49"/>
  <c r="D11" i="49"/>
  <c r="F15" i="49"/>
  <c r="C24" i="34"/>
  <c r="G13" i="37"/>
  <c r="H11" i="37"/>
  <c r="G11" i="37"/>
  <c r="H10" i="37"/>
  <c r="H13" i="37"/>
  <c r="H31" i="37"/>
  <c r="G10" i="37"/>
  <c r="C35" i="38"/>
  <c r="C34" i="38"/>
  <c r="C23" i="39"/>
  <c r="C24" i="39"/>
  <c r="C47" i="39"/>
  <c r="G23" i="39"/>
  <c r="G24" i="39"/>
  <c r="C48" i="39"/>
  <c r="C41" i="39"/>
  <c r="C42" i="39"/>
  <c r="C49" i="39"/>
  <c r="G41" i="39"/>
  <c r="G42" i="39"/>
  <c r="C50" i="39"/>
  <c r="C23" i="40"/>
  <c r="C24" i="40"/>
  <c r="C47" i="40"/>
  <c r="C51" i="40"/>
  <c r="C53" i="40"/>
  <c r="G23" i="40"/>
  <c r="G24" i="40"/>
  <c r="C48" i="40"/>
  <c r="C41" i="40"/>
  <c r="C42" i="40"/>
  <c r="C49" i="40"/>
  <c r="G41" i="40"/>
  <c r="G42" i="40"/>
  <c r="C50" i="40"/>
  <c r="I24" i="42"/>
  <c r="I23" i="42"/>
  <c r="E15" i="31"/>
  <c r="E16" i="31"/>
  <c r="I14" i="24"/>
  <c r="H14" i="24"/>
  <c r="G14" i="24"/>
  <c r="E14" i="24"/>
  <c r="D14" i="24"/>
  <c r="C14" i="24"/>
  <c r="D123" i="27"/>
  <c r="D121" i="27"/>
  <c r="D119" i="27"/>
  <c r="D117" i="27"/>
  <c r="D115" i="27"/>
  <c r="D113" i="27"/>
  <c r="D111" i="27"/>
  <c r="D109" i="27"/>
  <c r="D107" i="27"/>
  <c r="D105" i="27"/>
  <c r="D103" i="27"/>
  <c r="D101" i="27"/>
  <c r="D99" i="27"/>
  <c r="D97" i="27"/>
  <c r="D95" i="27"/>
  <c r="D93" i="27"/>
  <c r="D91" i="27"/>
  <c r="D89" i="27"/>
  <c r="D87" i="27"/>
  <c r="D85" i="27"/>
  <c r="D83" i="27"/>
  <c r="D81" i="27"/>
  <c r="D79" i="27"/>
  <c r="D77" i="27"/>
  <c r="D75" i="27"/>
  <c r="D73" i="27"/>
  <c r="D71" i="27"/>
  <c r="D69" i="27"/>
  <c r="D67" i="27"/>
  <c r="D65" i="27"/>
  <c r="D63" i="27"/>
  <c r="D61" i="27"/>
  <c r="D59" i="27"/>
  <c r="D57" i="27"/>
  <c r="D55" i="27"/>
  <c r="D53" i="27"/>
  <c r="D51" i="27"/>
  <c r="D49" i="27"/>
  <c r="D47" i="27"/>
  <c r="D45" i="27"/>
  <c r="D43" i="27"/>
  <c r="D41" i="27"/>
  <c r="D39" i="27"/>
  <c r="D37" i="27"/>
  <c r="D35" i="27"/>
  <c r="D33" i="27"/>
  <c r="D31" i="27"/>
  <c r="D29" i="27"/>
  <c r="D27" i="27"/>
  <c r="D25" i="27"/>
  <c r="I23" i="26"/>
  <c r="I22" i="26"/>
  <c r="C37" i="26"/>
  <c r="C36" i="26"/>
  <c r="D36" i="26"/>
  <c r="C122" i="26"/>
  <c r="C121" i="26"/>
  <c r="D122" i="26"/>
  <c r="C120" i="26"/>
  <c r="D120" i="26"/>
  <c r="C119" i="26"/>
  <c r="D119" i="26"/>
  <c r="C118" i="26"/>
  <c r="C117" i="26"/>
  <c r="D117" i="26"/>
  <c r="D118" i="26"/>
  <c r="C116" i="26"/>
  <c r="C115" i="26"/>
  <c r="C114" i="26"/>
  <c r="D114" i="26"/>
  <c r="C113" i="26"/>
  <c r="C112" i="26"/>
  <c r="D112" i="26"/>
  <c r="C111" i="26"/>
  <c r="D111" i="26"/>
  <c r="C110" i="26"/>
  <c r="C109" i="26"/>
  <c r="D109" i="26"/>
  <c r="D110" i="26"/>
  <c r="C108" i="26"/>
  <c r="C107" i="26"/>
  <c r="C106" i="26"/>
  <c r="D106" i="26"/>
  <c r="C105" i="26"/>
  <c r="C104" i="26"/>
  <c r="D104" i="26"/>
  <c r="C103" i="26"/>
  <c r="D103" i="26"/>
  <c r="C102" i="26"/>
  <c r="C101" i="26"/>
  <c r="D101" i="26"/>
  <c r="D102" i="26"/>
  <c r="C100" i="26"/>
  <c r="C99" i="26"/>
  <c r="C98" i="26"/>
  <c r="D98" i="26"/>
  <c r="C97" i="26"/>
  <c r="C96" i="26"/>
  <c r="D96" i="26"/>
  <c r="C95" i="26"/>
  <c r="D95" i="26"/>
  <c r="C94" i="26"/>
  <c r="C93" i="26"/>
  <c r="D93" i="26"/>
  <c r="D94" i="26"/>
  <c r="C92" i="26"/>
  <c r="C91" i="26"/>
  <c r="C90" i="26"/>
  <c r="D90" i="26"/>
  <c r="C89" i="26"/>
  <c r="C88" i="26"/>
  <c r="D88" i="26"/>
  <c r="C87" i="26"/>
  <c r="D87" i="26"/>
  <c r="C86" i="26"/>
  <c r="C85" i="26"/>
  <c r="D85" i="26"/>
  <c r="D86" i="26"/>
  <c r="C84" i="26"/>
  <c r="C83" i="26"/>
  <c r="C82" i="26"/>
  <c r="D82" i="26"/>
  <c r="C81" i="26"/>
  <c r="C80" i="26"/>
  <c r="D80" i="26"/>
  <c r="C79" i="26"/>
  <c r="D79" i="26"/>
  <c r="C78" i="26"/>
  <c r="C77" i="26"/>
  <c r="D77" i="26"/>
  <c r="D78" i="26"/>
  <c r="C76" i="26"/>
  <c r="C75" i="26"/>
  <c r="C74" i="26"/>
  <c r="D74" i="26"/>
  <c r="C73" i="26"/>
  <c r="C72" i="26"/>
  <c r="D72" i="26"/>
  <c r="C71" i="26"/>
  <c r="D71" i="26"/>
  <c r="C70" i="26"/>
  <c r="D70" i="26"/>
  <c r="C69" i="26"/>
  <c r="D69" i="26"/>
  <c r="C68" i="26"/>
  <c r="D68" i="26"/>
  <c r="C67" i="26"/>
  <c r="D67" i="26"/>
  <c r="C66" i="26"/>
  <c r="D66" i="26"/>
  <c r="C65" i="26"/>
  <c r="D65" i="26"/>
  <c r="C64" i="26"/>
  <c r="D64" i="26"/>
  <c r="C63" i="26"/>
  <c r="D63" i="26"/>
  <c r="C62" i="26"/>
  <c r="D62" i="26"/>
  <c r="C61" i="26"/>
  <c r="D61" i="26"/>
  <c r="C60" i="26"/>
  <c r="D60" i="26"/>
  <c r="C59" i="26"/>
  <c r="D59" i="26"/>
  <c r="C58" i="26"/>
  <c r="D58" i="26"/>
  <c r="C57" i="26"/>
  <c r="D57" i="26"/>
  <c r="C56" i="26"/>
  <c r="D56" i="26"/>
  <c r="C55" i="26"/>
  <c r="D55" i="26"/>
  <c r="C54" i="26"/>
  <c r="D54" i="26"/>
  <c r="C53" i="26"/>
  <c r="D53" i="26"/>
  <c r="C52" i="26"/>
  <c r="D52" i="26"/>
  <c r="C51" i="26"/>
  <c r="D51" i="26"/>
  <c r="C50" i="26"/>
  <c r="D50" i="26"/>
  <c r="C49" i="26"/>
  <c r="D49" i="26"/>
  <c r="C48" i="26"/>
  <c r="D48" i="26"/>
  <c r="C47" i="26"/>
  <c r="D47" i="26"/>
  <c r="C46" i="26"/>
  <c r="D46" i="26"/>
  <c r="C45" i="26"/>
  <c r="D45" i="26"/>
  <c r="C44" i="26"/>
  <c r="D44" i="26"/>
  <c r="C43" i="26"/>
  <c r="D43" i="26"/>
  <c r="C42" i="26"/>
  <c r="D42" i="26"/>
  <c r="C41" i="26"/>
  <c r="D41" i="26"/>
  <c r="C40" i="26"/>
  <c r="D40" i="26"/>
  <c r="C39" i="26"/>
  <c r="D39" i="26"/>
  <c r="C38" i="26"/>
  <c r="D38" i="26"/>
  <c r="C35" i="26"/>
  <c r="C34" i="26"/>
  <c r="D34" i="26"/>
  <c r="C33" i="26"/>
  <c r="D33" i="26"/>
  <c r="C32" i="26"/>
  <c r="D32" i="26"/>
  <c r="C31" i="26"/>
  <c r="D31" i="26"/>
  <c r="C30" i="26"/>
  <c r="D30" i="26"/>
  <c r="C29" i="26"/>
  <c r="D29" i="26"/>
  <c r="C28" i="26"/>
  <c r="I24" i="26"/>
  <c r="C27" i="26"/>
  <c r="D28" i="26"/>
  <c r="C26" i="26"/>
  <c r="D27" i="26"/>
  <c r="C25" i="26"/>
  <c r="D26" i="26"/>
  <c r="C24" i="26"/>
  <c r="D25" i="26"/>
  <c r="C23" i="26"/>
  <c r="D24" i="26"/>
  <c r="C22" i="26"/>
  <c r="D23" i="26"/>
  <c r="E19" i="30"/>
  <c r="D19" i="30"/>
  <c r="C19" i="30"/>
  <c r="E18" i="30"/>
  <c r="D18" i="30"/>
  <c r="C18" i="30"/>
  <c r="E17" i="30"/>
  <c r="D17" i="30"/>
  <c r="C17" i="30"/>
  <c r="B33" i="28"/>
  <c r="C19" i="28"/>
  <c r="C18" i="28"/>
  <c r="C17" i="28"/>
  <c r="F19" i="28"/>
  <c r="F18" i="28"/>
  <c r="F17" i="28"/>
  <c r="E19" i="28"/>
  <c r="E18" i="28"/>
  <c r="E17" i="28"/>
  <c r="D19" i="28"/>
  <c r="D18" i="28"/>
  <c r="D17" i="28"/>
  <c r="R62" i="50"/>
  <c r="Q62" i="50"/>
  <c r="P62" i="50"/>
  <c r="O62" i="50"/>
  <c r="N62" i="50"/>
  <c r="M62" i="50"/>
  <c r="L62" i="50"/>
  <c r="K62" i="50"/>
  <c r="J62" i="50"/>
  <c r="I62" i="50"/>
  <c r="H62" i="50"/>
  <c r="G62" i="50"/>
  <c r="F62" i="50"/>
  <c r="E62" i="50"/>
  <c r="D62" i="50"/>
  <c r="C62" i="50"/>
  <c r="R61" i="50"/>
  <c r="Q61" i="50"/>
  <c r="P61" i="50"/>
  <c r="O61" i="50"/>
  <c r="N61" i="50"/>
  <c r="M61" i="50"/>
  <c r="L61" i="50"/>
  <c r="K61" i="50"/>
  <c r="J61" i="50"/>
  <c r="I61" i="50"/>
  <c r="H61" i="50"/>
  <c r="G61" i="50"/>
  <c r="F61" i="50"/>
  <c r="E61" i="50"/>
  <c r="D61" i="50"/>
  <c r="C61" i="50"/>
  <c r="R60" i="50"/>
  <c r="Q60" i="50"/>
  <c r="P60" i="50"/>
  <c r="O60" i="50"/>
  <c r="N60" i="50"/>
  <c r="M60" i="50"/>
  <c r="L60" i="50"/>
  <c r="K60" i="50"/>
  <c r="J60" i="50"/>
  <c r="I60" i="50"/>
  <c r="H60" i="50"/>
  <c r="G60" i="50"/>
  <c r="F60" i="50"/>
  <c r="E60" i="50"/>
  <c r="D60" i="50"/>
  <c r="C60" i="50"/>
  <c r="R59" i="50"/>
  <c r="Q59" i="50"/>
  <c r="P59" i="50"/>
  <c r="O59" i="50"/>
  <c r="N59" i="50"/>
  <c r="M59" i="50"/>
  <c r="L59" i="50"/>
  <c r="K59" i="50"/>
  <c r="J59" i="50"/>
  <c r="I59" i="50"/>
  <c r="H59" i="50"/>
  <c r="G59" i="50"/>
  <c r="F59" i="50"/>
  <c r="E59" i="50"/>
  <c r="D59" i="50"/>
  <c r="C59" i="50"/>
  <c r="R58" i="50"/>
  <c r="Q58" i="50"/>
  <c r="P58" i="50"/>
  <c r="O58" i="50"/>
  <c r="N58" i="50"/>
  <c r="M58" i="50"/>
  <c r="L58" i="50"/>
  <c r="K58" i="50"/>
  <c r="J58" i="50"/>
  <c r="I58" i="50"/>
  <c r="H58" i="50"/>
  <c r="G58" i="50"/>
  <c r="F58" i="50"/>
  <c r="E58" i="50"/>
  <c r="D58" i="50"/>
  <c r="C58" i="50"/>
  <c r="R57" i="50"/>
  <c r="Q57" i="50"/>
  <c r="P57" i="50"/>
  <c r="O57" i="50"/>
  <c r="N57" i="50"/>
  <c r="M57" i="50"/>
  <c r="L57" i="50"/>
  <c r="K57" i="50"/>
  <c r="J57" i="50"/>
  <c r="I57" i="50"/>
  <c r="H57" i="50"/>
  <c r="G57" i="50"/>
  <c r="F57" i="50"/>
  <c r="E57" i="50"/>
  <c r="D57" i="50"/>
  <c r="C57" i="50"/>
  <c r="R56" i="50"/>
  <c r="Q56" i="50"/>
  <c r="P56" i="50"/>
  <c r="O56" i="50"/>
  <c r="N56" i="50"/>
  <c r="M56" i="50"/>
  <c r="L56" i="50"/>
  <c r="K56" i="50"/>
  <c r="J56" i="50"/>
  <c r="I56" i="50"/>
  <c r="H56" i="50"/>
  <c r="G56" i="50"/>
  <c r="F56" i="50"/>
  <c r="E56" i="50"/>
  <c r="D56" i="50"/>
  <c r="C56" i="50"/>
  <c r="R55" i="50"/>
  <c r="Q55" i="50"/>
  <c r="P55" i="50"/>
  <c r="O55" i="50"/>
  <c r="N55" i="50"/>
  <c r="M55" i="50"/>
  <c r="L55" i="50"/>
  <c r="K55" i="50"/>
  <c r="J55" i="50"/>
  <c r="I55" i="50"/>
  <c r="H55" i="50"/>
  <c r="G55" i="50"/>
  <c r="F55" i="50"/>
  <c r="E55" i="50"/>
  <c r="D55" i="50"/>
  <c r="C55" i="50"/>
  <c r="R54" i="50"/>
  <c r="Q54" i="50"/>
  <c r="P54" i="50"/>
  <c r="O54" i="50"/>
  <c r="N54" i="50"/>
  <c r="M54" i="50"/>
  <c r="L54" i="50"/>
  <c r="K54" i="50"/>
  <c r="J54" i="50"/>
  <c r="I54" i="50"/>
  <c r="H54" i="50"/>
  <c r="G54" i="50"/>
  <c r="F54" i="50"/>
  <c r="E54" i="50"/>
  <c r="D54" i="50"/>
  <c r="C54" i="50"/>
  <c r="R53" i="50"/>
  <c r="Q53" i="50"/>
  <c r="P53" i="50"/>
  <c r="O53" i="50"/>
  <c r="N53" i="50"/>
  <c r="M53" i="50"/>
  <c r="L53" i="50"/>
  <c r="K53" i="50"/>
  <c r="J53" i="50"/>
  <c r="I53" i="50"/>
  <c r="H53" i="50"/>
  <c r="G53" i="50"/>
  <c r="F53" i="50"/>
  <c r="E53" i="50"/>
  <c r="D53" i="50"/>
  <c r="C53" i="50"/>
  <c r="R52" i="50"/>
  <c r="Q52" i="50"/>
  <c r="P52" i="50"/>
  <c r="O52" i="50"/>
  <c r="N52" i="50"/>
  <c r="M52" i="50"/>
  <c r="L52" i="50"/>
  <c r="K52" i="50"/>
  <c r="J52" i="50"/>
  <c r="I52" i="50"/>
  <c r="H52" i="50"/>
  <c r="G52" i="50"/>
  <c r="F52" i="50"/>
  <c r="E52" i="50"/>
  <c r="D52" i="50"/>
  <c r="C52" i="50"/>
  <c r="R51" i="50"/>
  <c r="Q51" i="50"/>
  <c r="P51" i="50"/>
  <c r="O51" i="50"/>
  <c r="N51" i="50"/>
  <c r="M51" i="50"/>
  <c r="L51" i="50"/>
  <c r="K51" i="50"/>
  <c r="J51" i="50"/>
  <c r="I51" i="50"/>
  <c r="H51" i="50"/>
  <c r="G51" i="50"/>
  <c r="F51" i="50"/>
  <c r="E51" i="50"/>
  <c r="D51" i="50"/>
  <c r="C51" i="50"/>
  <c r="R50" i="50"/>
  <c r="Q50" i="50"/>
  <c r="P50" i="50"/>
  <c r="O50" i="50"/>
  <c r="N50" i="50"/>
  <c r="M50" i="50"/>
  <c r="L50" i="50"/>
  <c r="K50" i="50"/>
  <c r="J50" i="50"/>
  <c r="I50" i="50"/>
  <c r="H50" i="50"/>
  <c r="G50" i="50"/>
  <c r="F50" i="50"/>
  <c r="E50" i="50"/>
  <c r="D50" i="50"/>
  <c r="C50" i="50"/>
  <c r="R49" i="50"/>
  <c r="Q49" i="50"/>
  <c r="P49" i="50"/>
  <c r="O49" i="50"/>
  <c r="N49" i="50"/>
  <c r="M49" i="50"/>
  <c r="L49" i="50"/>
  <c r="K49" i="50"/>
  <c r="J49" i="50"/>
  <c r="I49" i="50"/>
  <c r="H49" i="50"/>
  <c r="G49" i="50"/>
  <c r="F49" i="50"/>
  <c r="E49" i="50"/>
  <c r="D49" i="50"/>
  <c r="C49" i="50"/>
  <c r="R48" i="50"/>
  <c r="Q48" i="50"/>
  <c r="P48" i="50"/>
  <c r="O48" i="50"/>
  <c r="N48" i="50"/>
  <c r="M48" i="50"/>
  <c r="L48" i="50"/>
  <c r="K48" i="50"/>
  <c r="J48" i="50"/>
  <c r="I48" i="50"/>
  <c r="H48" i="50"/>
  <c r="G48" i="50"/>
  <c r="F48" i="50"/>
  <c r="E48" i="50"/>
  <c r="D48" i="50"/>
  <c r="C48" i="50"/>
  <c r="R47" i="50"/>
  <c r="Q47" i="50"/>
  <c r="P47" i="50"/>
  <c r="O47" i="50"/>
  <c r="N47" i="50"/>
  <c r="M47" i="50"/>
  <c r="L47" i="50"/>
  <c r="K47" i="50"/>
  <c r="J47" i="50"/>
  <c r="I47" i="50"/>
  <c r="H47" i="50"/>
  <c r="G47" i="50"/>
  <c r="F47" i="50"/>
  <c r="E47" i="50"/>
  <c r="D47" i="50"/>
  <c r="C47" i="50"/>
  <c r="R46" i="50"/>
  <c r="Q46" i="50"/>
  <c r="P46" i="50"/>
  <c r="O46" i="50"/>
  <c r="N46" i="50"/>
  <c r="M46" i="50"/>
  <c r="L46" i="50"/>
  <c r="K46" i="50"/>
  <c r="J46" i="50"/>
  <c r="I46" i="50"/>
  <c r="H46" i="50"/>
  <c r="G46" i="50"/>
  <c r="F46" i="50"/>
  <c r="E46" i="50"/>
  <c r="D46" i="50"/>
  <c r="C46" i="50"/>
  <c r="R45" i="50"/>
  <c r="Q45" i="50"/>
  <c r="P45" i="50"/>
  <c r="O45" i="50"/>
  <c r="N45" i="50"/>
  <c r="M45" i="50"/>
  <c r="L45" i="50"/>
  <c r="K45" i="50"/>
  <c r="J45" i="50"/>
  <c r="I45" i="50"/>
  <c r="H45" i="50"/>
  <c r="G45" i="50"/>
  <c r="F45" i="50"/>
  <c r="E45" i="50"/>
  <c r="D45" i="50"/>
  <c r="C45" i="50"/>
  <c r="R44" i="50"/>
  <c r="Q44" i="50"/>
  <c r="P44" i="50"/>
  <c r="O44" i="50"/>
  <c r="N44" i="50"/>
  <c r="M44" i="50"/>
  <c r="L44" i="50"/>
  <c r="K44" i="50"/>
  <c r="J44" i="50"/>
  <c r="I44" i="50"/>
  <c r="H44" i="50"/>
  <c r="G44" i="50"/>
  <c r="F44" i="50"/>
  <c r="E44" i="50"/>
  <c r="D44" i="50"/>
  <c r="C44" i="50"/>
  <c r="R43" i="50"/>
  <c r="Q43" i="50"/>
  <c r="P43" i="50"/>
  <c r="O43" i="50"/>
  <c r="N43" i="50"/>
  <c r="M43" i="50"/>
  <c r="L43" i="50"/>
  <c r="K43" i="50"/>
  <c r="J43" i="50"/>
  <c r="I43" i="50"/>
  <c r="H43" i="50"/>
  <c r="G43" i="50"/>
  <c r="F43" i="50"/>
  <c r="E43" i="50"/>
  <c r="D43" i="50"/>
  <c r="C43" i="50"/>
  <c r="R42" i="50"/>
  <c r="Q42" i="50"/>
  <c r="P42" i="50"/>
  <c r="O42" i="50"/>
  <c r="N42" i="50"/>
  <c r="M42" i="50"/>
  <c r="L42" i="50"/>
  <c r="K42" i="50"/>
  <c r="J42" i="50"/>
  <c r="I42" i="50"/>
  <c r="H42" i="50"/>
  <c r="G42" i="50"/>
  <c r="F42" i="50"/>
  <c r="E42" i="50"/>
  <c r="D42" i="50"/>
  <c r="C42" i="50"/>
  <c r="R41" i="50"/>
  <c r="Q41" i="50"/>
  <c r="P41" i="50"/>
  <c r="O41" i="50"/>
  <c r="N41" i="50"/>
  <c r="M41" i="50"/>
  <c r="L41" i="50"/>
  <c r="K41" i="50"/>
  <c r="J41" i="50"/>
  <c r="I41" i="50"/>
  <c r="H41" i="50"/>
  <c r="G41" i="50"/>
  <c r="F41" i="50"/>
  <c r="E41" i="50"/>
  <c r="D41" i="50"/>
  <c r="C41" i="50"/>
  <c r="R40" i="50"/>
  <c r="Q40" i="50"/>
  <c r="P40" i="50"/>
  <c r="O40" i="50"/>
  <c r="N40" i="50"/>
  <c r="M40" i="50"/>
  <c r="L40" i="50"/>
  <c r="K40" i="50"/>
  <c r="J40" i="50"/>
  <c r="I40" i="50"/>
  <c r="H40" i="50"/>
  <c r="G40" i="50"/>
  <c r="F40" i="50"/>
  <c r="E40" i="50"/>
  <c r="D40" i="50"/>
  <c r="C40" i="50"/>
  <c r="R39" i="50"/>
  <c r="Q39" i="50"/>
  <c r="P39" i="50"/>
  <c r="O39" i="50"/>
  <c r="N39" i="50"/>
  <c r="M39" i="50"/>
  <c r="L39" i="50"/>
  <c r="K39" i="50"/>
  <c r="J39" i="50"/>
  <c r="I39" i="50"/>
  <c r="H39" i="50"/>
  <c r="G39" i="50"/>
  <c r="F39" i="50"/>
  <c r="E39" i="50"/>
  <c r="D39" i="50"/>
  <c r="C39" i="50"/>
  <c r="R38" i="50"/>
  <c r="Q38" i="50"/>
  <c r="P38" i="50"/>
  <c r="O38" i="50"/>
  <c r="N38" i="50"/>
  <c r="M38" i="50"/>
  <c r="L38" i="50"/>
  <c r="K38" i="50"/>
  <c r="J38" i="50"/>
  <c r="I38" i="50"/>
  <c r="H38" i="50"/>
  <c r="G38" i="50"/>
  <c r="F38" i="50"/>
  <c r="E38" i="50"/>
  <c r="D38" i="50"/>
  <c r="C38" i="50"/>
  <c r="R37" i="50"/>
  <c r="Q37" i="50"/>
  <c r="P37" i="50"/>
  <c r="O37" i="50"/>
  <c r="N37" i="50"/>
  <c r="M37" i="50"/>
  <c r="L37" i="50"/>
  <c r="K37" i="50"/>
  <c r="J37" i="50"/>
  <c r="I37" i="50"/>
  <c r="H37" i="50"/>
  <c r="G37" i="50"/>
  <c r="F37" i="50"/>
  <c r="E37" i="50"/>
  <c r="D37" i="50"/>
  <c r="C37" i="50"/>
  <c r="R36" i="50"/>
  <c r="Q36" i="50"/>
  <c r="P36" i="50"/>
  <c r="O36" i="50"/>
  <c r="N36" i="50"/>
  <c r="M36" i="50"/>
  <c r="L36" i="50"/>
  <c r="K36" i="50"/>
  <c r="J36" i="50"/>
  <c r="I36" i="50"/>
  <c r="H36" i="50"/>
  <c r="G36" i="50"/>
  <c r="F36" i="50"/>
  <c r="E36" i="50"/>
  <c r="D36" i="50"/>
  <c r="C36" i="50"/>
  <c r="R35" i="50"/>
  <c r="Q35" i="50"/>
  <c r="P35" i="50"/>
  <c r="O35" i="50"/>
  <c r="N35" i="50"/>
  <c r="M35" i="50"/>
  <c r="L35" i="50"/>
  <c r="K35" i="50"/>
  <c r="J35" i="50"/>
  <c r="I35" i="50"/>
  <c r="H35" i="50"/>
  <c r="G35" i="50"/>
  <c r="F35" i="50"/>
  <c r="E35" i="50"/>
  <c r="D35" i="50"/>
  <c r="C35" i="50"/>
  <c r="R34" i="50"/>
  <c r="Q34" i="50"/>
  <c r="P34" i="50"/>
  <c r="O34" i="50"/>
  <c r="N34" i="50"/>
  <c r="M34" i="50"/>
  <c r="L34" i="50"/>
  <c r="K34" i="50"/>
  <c r="J34" i="50"/>
  <c r="I34" i="50"/>
  <c r="H34" i="50"/>
  <c r="G34" i="50"/>
  <c r="F34" i="50"/>
  <c r="E34" i="50"/>
  <c r="D34" i="50"/>
  <c r="C34" i="50"/>
  <c r="R33" i="50"/>
  <c r="Q33" i="50"/>
  <c r="P33" i="50"/>
  <c r="O33" i="50"/>
  <c r="N33" i="50"/>
  <c r="M33" i="50"/>
  <c r="L33" i="50"/>
  <c r="K33" i="50"/>
  <c r="J33" i="50"/>
  <c r="I33" i="50"/>
  <c r="H33" i="50"/>
  <c r="G33" i="50"/>
  <c r="F33" i="50"/>
  <c r="E33" i="50"/>
  <c r="D33" i="50"/>
  <c r="C33" i="50"/>
  <c r="R32" i="50"/>
  <c r="Q32" i="50"/>
  <c r="P32" i="50"/>
  <c r="O32" i="50"/>
  <c r="N32" i="50"/>
  <c r="M32" i="50"/>
  <c r="L32" i="50"/>
  <c r="K32" i="50"/>
  <c r="J32" i="50"/>
  <c r="I32" i="50"/>
  <c r="H32" i="50"/>
  <c r="G32" i="50"/>
  <c r="F32" i="50"/>
  <c r="E32" i="50"/>
  <c r="D32" i="50"/>
  <c r="C32" i="50"/>
  <c r="R31" i="50"/>
  <c r="Q31" i="50"/>
  <c r="P31" i="50"/>
  <c r="O31" i="50"/>
  <c r="N31" i="50"/>
  <c r="M31" i="50"/>
  <c r="L31" i="50"/>
  <c r="K31" i="50"/>
  <c r="J31" i="50"/>
  <c r="I31" i="50"/>
  <c r="H31" i="50"/>
  <c r="G31" i="50"/>
  <c r="F31" i="50"/>
  <c r="E31" i="50"/>
  <c r="D31" i="50"/>
  <c r="C31" i="50"/>
  <c r="R30" i="50"/>
  <c r="Q30" i="50"/>
  <c r="P30" i="50"/>
  <c r="O30" i="50"/>
  <c r="N30" i="50"/>
  <c r="M30" i="50"/>
  <c r="L30" i="50"/>
  <c r="K30" i="50"/>
  <c r="J30" i="50"/>
  <c r="I30" i="50"/>
  <c r="H30" i="50"/>
  <c r="G30" i="50"/>
  <c r="F30" i="50"/>
  <c r="E30" i="50"/>
  <c r="D30" i="50"/>
  <c r="C30" i="50"/>
  <c r="R29" i="50"/>
  <c r="Q29" i="50"/>
  <c r="P29" i="50"/>
  <c r="O29" i="50"/>
  <c r="N29" i="50"/>
  <c r="M29" i="50"/>
  <c r="L29" i="50"/>
  <c r="K29" i="50"/>
  <c r="J29" i="50"/>
  <c r="I29" i="50"/>
  <c r="H29" i="50"/>
  <c r="G29" i="50"/>
  <c r="F29" i="50"/>
  <c r="E29" i="50"/>
  <c r="D29" i="50"/>
  <c r="C29" i="50"/>
  <c r="R28" i="50"/>
  <c r="Q28" i="50"/>
  <c r="P28" i="50"/>
  <c r="O28" i="50"/>
  <c r="N28" i="50"/>
  <c r="M28" i="50"/>
  <c r="L28" i="50"/>
  <c r="K28" i="50"/>
  <c r="J28" i="50"/>
  <c r="I28" i="50"/>
  <c r="H28" i="50"/>
  <c r="G28" i="50"/>
  <c r="F28" i="50"/>
  <c r="E28" i="50"/>
  <c r="D28" i="50"/>
  <c r="C28" i="50"/>
  <c r="R27" i="50"/>
  <c r="Q27" i="50"/>
  <c r="P27" i="50"/>
  <c r="O27" i="50"/>
  <c r="N27" i="50"/>
  <c r="M27" i="50"/>
  <c r="L27" i="50"/>
  <c r="K27" i="50"/>
  <c r="J27" i="50"/>
  <c r="I27" i="50"/>
  <c r="H27" i="50"/>
  <c r="G27" i="50"/>
  <c r="F27" i="50"/>
  <c r="E27" i="50"/>
  <c r="D27" i="50"/>
  <c r="C27" i="50"/>
  <c r="R26" i="50"/>
  <c r="Q26" i="50"/>
  <c r="P26" i="50"/>
  <c r="O26" i="50"/>
  <c r="N26" i="50"/>
  <c r="M26" i="50"/>
  <c r="L26" i="50"/>
  <c r="K26" i="50"/>
  <c r="J26" i="50"/>
  <c r="I26" i="50"/>
  <c r="H26" i="50"/>
  <c r="G26" i="50"/>
  <c r="F26" i="50"/>
  <c r="E26" i="50"/>
  <c r="D26" i="50"/>
  <c r="C26" i="50"/>
  <c r="R25" i="50"/>
  <c r="Q25" i="50"/>
  <c r="P25" i="50"/>
  <c r="O25" i="50"/>
  <c r="N25" i="50"/>
  <c r="M25" i="50"/>
  <c r="L25" i="50"/>
  <c r="K25" i="50"/>
  <c r="J25" i="50"/>
  <c r="I25" i="50"/>
  <c r="H25" i="50"/>
  <c r="G25" i="50"/>
  <c r="F25" i="50"/>
  <c r="E25" i="50"/>
  <c r="D25" i="50"/>
  <c r="C25" i="50"/>
  <c r="R24" i="50"/>
  <c r="Q24" i="50"/>
  <c r="P24" i="50"/>
  <c r="O24" i="50"/>
  <c r="N24" i="50"/>
  <c r="M24" i="50"/>
  <c r="L24" i="50"/>
  <c r="K24" i="50"/>
  <c r="J24" i="50"/>
  <c r="I24" i="50"/>
  <c r="H24" i="50"/>
  <c r="G24" i="50"/>
  <c r="F24" i="50"/>
  <c r="E24" i="50"/>
  <c r="D24" i="50"/>
  <c r="C24" i="50"/>
  <c r="R23" i="50"/>
  <c r="Q23" i="50"/>
  <c r="P23" i="50"/>
  <c r="O23" i="50"/>
  <c r="N23" i="50"/>
  <c r="M23" i="50"/>
  <c r="L23" i="50"/>
  <c r="K23" i="50"/>
  <c r="J23" i="50"/>
  <c r="I23" i="50"/>
  <c r="H23" i="50"/>
  <c r="G23" i="50"/>
  <c r="F23" i="50"/>
  <c r="E23" i="50"/>
  <c r="D23" i="50"/>
  <c r="C23" i="50"/>
  <c r="R22" i="50"/>
  <c r="Q22" i="50"/>
  <c r="P22" i="50"/>
  <c r="O22" i="50"/>
  <c r="N22" i="50"/>
  <c r="M22" i="50"/>
  <c r="L22" i="50"/>
  <c r="K22" i="50"/>
  <c r="J22" i="50"/>
  <c r="I22" i="50"/>
  <c r="H22" i="50"/>
  <c r="G22" i="50"/>
  <c r="F22" i="50"/>
  <c r="E22" i="50"/>
  <c r="D22" i="50"/>
  <c r="C22" i="50"/>
  <c r="R21" i="50"/>
  <c r="Q21" i="50"/>
  <c r="P21" i="50"/>
  <c r="O21" i="50"/>
  <c r="N21" i="50"/>
  <c r="M21" i="50"/>
  <c r="L21" i="50"/>
  <c r="K21" i="50"/>
  <c r="J21" i="50"/>
  <c r="I21" i="50"/>
  <c r="H21" i="50"/>
  <c r="G21" i="50"/>
  <c r="F21" i="50"/>
  <c r="E21" i="50"/>
  <c r="D21" i="50"/>
  <c r="C21" i="50"/>
  <c r="R20" i="50"/>
  <c r="Q20" i="50"/>
  <c r="P20" i="50"/>
  <c r="O20" i="50"/>
  <c r="N20" i="50"/>
  <c r="M20" i="50"/>
  <c r="L20" i="50"/>
  <c r="K20" i="50"/>
  <c r="J20" i="50"/>
  <c r="I20" i="50"/>
  <c r="H20" i="50"/>
  <c r="G20" i="50"/>
  <c r="F20" i="50"/>
  <c r="E20" i="50"/>
  <c r="D20" i="50"/>
  <c r="C20" i="50"/>
  <c r="R19" i="50"/>
  <c r="Q19" i="50"/>
  <c r="P19" i="50"/>
  <c r="O19" i="50"/>
  <c r="N19" i="50"/>
  <c r="M19" i="50"/>
  <c r="L19" i="50"/>
  <c r="K19" i="50"/>
  <c r="J19" i="50"/>
  <c r="I19" i="50"/>
  <c r="H19" i="50"/>
  <c r="G19" i="50"/>
  <c r="F19" i="50"/>
  <c r="E19" i="50"/>
  <c r="D19" i="50"/>
  <c r="C19" i="50"/>
  <c r="R18" i="50"/>
  <c r="Q18" i="50"/>
  <c r="P18" i="50"/>
  <c r="O18" i="50"/>
  <c r="N18" i="50"/>
  <c r="M18" i="50"/>
  <c r="L18" i="50"/>
  <c r="K18" i="50"/>
  <c r="J18" i="50"/>
  <c r="I18" i="50"/>
  <c r="H18" i="50"/>
  <c r="G18" i="50"/>
  <c r="F18" i="50"/>
  <c r="E18" i="50"/>
  <c r="D18" i="50"/>
  <c r="C18" i="50"/>
  <c r="R17" i="50"/>
  <c r="Q17" i="50"/>
  <c r="P17" i="50"/>
  <c r="O17" i="50"/>
  <c r="N17" i="50"/>
  <c r="M17" i="50"/>
  <c r="L17" i="50"/>
  <c r="K17" i="50"/>
  <c r="J17" i="50"/>
  <c r="I17" i="50"/>
  <c r="H17" i="50"/>
  <c r="G17" i="50"/>
  <c r="F17" i="50"/>
  <c r="E17" i="50"/>
  <c r="D17" i="50"/>
  <c r="C17" i="50"/>
  <c r="R16" i="50"/>
  <c r="Q16" i="50"/>
  <c r="P16" i="50"/>
  <c r="O16" i="50"/>
  <c r="N16" i="50"/>
  <c r="M16" i="50"/>
  <c r="L16" i="50"/>
  <c r="K16" i="50"/>
  <c r="J16" i="50"/>
  <c r="I16" i="50"/>
  <c r="H16" i="50"/>
  <c r="G16" i="50"/>
  <c r="F16" i="50"/>
  <c r="E16" i="50"/>
  <c r="D16" i="50"/>
  <c r="C16" i="50"/>
  <c r="R15" i="50"/>
  <c r="Q15" i="50"/>
  <c r="P15" i="50"/>
  <c r="O15" i="50"/>
  <c r="N15" i="50"/>
  <c r="M15" i="50"/>
  <c r="L15" i="50"/>
  <c r="K15" i="50"/>
  <c r="J15" i="50"/>
  <c r="I15" i="50"/>
  <c r="H15" i="50"/>
  <c r="G15" i="50"/>
  <c r="F15" i="50"/>
  <c r="E15" i="50"/>
  <c r="D15" i="50"/>
  <c r="C15" i="50"/>
  <c r="R14" i="50"/>
  <c r="Q14" i="50"/>
  <c r="P14" i="50"/>
  <c r="O14" i="50"/>
  <c r="N14" i="50"/>
  <c r="M14" i="50"/>
  <c r="L14" i="50"/>
  <c r="K14" i="50"/>
  <c r="J14" i="50"/>
  <c r="I14" i="50"/>
  <c r="H14" i="50"/>
  <c r="G14" i="50"/>
  <c r="F14" i="50"/>
  <c r="E14" i="50"/>
  <c r="D14" i="50"/>
  <c r="C14" i="50"/>
  <c r="R13" i="50"/>
  <c r="Q13" i="50"/>
  <c r="P13" i="50"/>
  <c r="O13" i="50"/>
  <c r="N13" i="50"/>
  <c r="M13" i="50"/>
  <c r="L13" i="50"/>
  <c r="K13" i="50"/>
  <c r="J13" i="50"/>
  <c r="I13" i="50"/>
  <c r="H13" i="50"/>
  <c r="G13" i="50"/>
  <c r="F13" i="50"/>
  <c r="E13" i="50"/>
  <c r="D13" i="50"/>
  <c r="C13" i="50"/>
  <c r="R12" i="50"/>
  <c r="Q12" i="50"/>
  <c r="P12" i="50"/>
  <c r="O12" i="50"/>
  <c r="N12" i="50"/>
  <c r="M12" i="50"/>
  <c r="L12" i="50"/>
  <c r="K12" i="50"/>
  <c r="J12" i="50"/>
  <c r="I12" i="50"/>
  <c r="H12" i="50"/>
  <c r="G12" i="50"/>
  <c r="F12" i="50"/>
  <c r="E12" i="50"/>
  <c r="D12" i="50"/>
  <c r="C12" i="50"/>
  <c r="R11" i="50"/>
  <c r="Q11" i="50"/>
  <c r="P11" i="50"/>
  <c r="O11" i="50"/>
  <c r="N11" i="50"/>
  <c r="M11" i="50"/>
  <c r="L11" i="50"/>
  <c r="K11" i="50"/>
  <c r="J11" i="50"/>
  <c r="I11" i="50"/>
  <c r="H11" i="50"/>
  <c r="G11" i="50"/>
  <c r="F11" i="50"/>
  <c r="E11" i="50"/>
  <c r="D11" i="50"/>
  <c r="C11" i="50"/>
  <c r="F7" i="50"/>
  <c r="F12" i="20"/>
  <c r="F14" i="20"/>
  <c r="F13" i="20"/>
  <c r="B28" i="21"/>
  <c r="F11" i="21"/>
  <c r="F13" i="21"/>
  <c r="F15" i="21"/>
  <c r="F14" i="21"/>
  <c r="F10" i="21"/>
  <c r="D22" i="5"/>
  <c r="D27" i="5"/>
  <c r="D28" i="5"/>
  <c r="D29" i="5"/>
  <c r="E15" i="5"/>
  <c r="E16" i="5"/>
  <c r="E17" i="5"/>
  <c r="D17" i="5"/>
  <c r="C17" i="5"/>
  <c r="E12" i="5"/>
  <c r="E13" i="5"/>
  <c r="D13" i="5"/>
  <c r="C13" i="5"/>
  <c r="D28" i="19"/>
  <c r="D29" i="19"/>
  <c r="D30" i="19"/>
  <c r="D23" i="19"/>
  <c r="E15" i="19"/>
  <c r="E17" i="19"/>
  <c r="E16" i="19"/>
  <c r="D17" i="19"/>
  <c r="C17" i="19"/>
  <c r="E11" i="19"/>
  <c r="E13" i="19"/>
  <c r="E12" i="19"/>
  <c r="D13" i="19"/>
  <c r="C13" i="19"/>
  <c r="E15" i="18"/>
  <c r="E16" i="18"/>
  <c r="E17" i="18"/>
  <c r="E12" i="18"/>
  <c r="E13" i="18"/>
  <c r="C13" i="18"/>
  <c r="D13" i="18"/>
  <c r="C17" i="18"/>
  <c r="D17" i="18"/>
  <c r="B32" i="1"/>
  <c r="B33" i="1"/>
  <c r="B19" i="1"/>
  <c r="B25" i="17"/>
  <c r="B26" i="17"/>
  <c r="D31" i="17"/>
  <c r="C31" i="17"/>
  <c r="D37" i="2"/>
  <c r="C37" i="2"/>
  <c r="F10" i="22"/>
  <c r="C51" i="39"/>
  <c r="C53" i="39"/>
  <c r="D50" i="49"/>
  <c r="D48" i="49"/>
  <c r="D46" i="49"/>
  <c r="D44" i="49"/>
  <c r="D42" i="49"/>
  <c r="D40" i="49"/>
  <c r="D38" i="49"/>
  <c r="D36" i="49"/>
  <c r="D34" i="49"/>
  <c r="D32" i="49"/>
  <c r="D30" i="49"/>
  <c r="D28" i="49"/>
  <c r="D26" i="49"/>
  <c r="D24" i="49"/>
  <c r="D22" i="49"/>
  <c r="D20" i="49"/>
  <c r="D18" i="49"/>
  <c r="D16" i="49"/>
  <c r="D14" i="49"/>
  <c r="D12" i="49"/>
  <c r="D35" i="26"/>
  <c r="D49" i="49"/>
  <c r="D47" i="49"/>
  <c r="D45" i="49"/>
  <c r="D43" i="49"/>
  <c r="D41" i="49"/>
  <c r="D39" i="49"/>
  <c r="D37" i="49"/>
  <c r="D35" i="49"/>
  <c r="D33" i="49"/>
  <c r="D31" i="49"/>
  <c r="D29" i="49"/>
  <c r="D27" i="49"/>
  <c r="D25" i="49"/>
  <c r="D23" i="49"/>
  <c r="D21" i="49"/>
  <c r="D19" i="49"/>
  <c r="D17" i="49"/>
  <c r="D15" i="49"/>
  <c r="D13" i="49"/>
  <c r="D48" i="48"/>
  <c r="D46" i="48"/>
  <c r="D44" i="48"/>
  <c r="D42" i="48"/>
  <c r="D40" i="48"/>
  <c r="D38" i="48"/>
  <c r="D36" i="48"/>
  <c r="D34" i="48"/>
  <c r="D32" i="48"/>
  <c r="D30" i="48"/>
  <c r="D28" i="48"/>
  <c r="D26" i="48"/>
  <c r="D24" i="48"/>
  <c r="D22" i="48"/>
  <c r="D20" i="48"/>
  <c r="D18" i="48"/>
  <c r="D16" i="48"/>
  <c r="D14" i="48"/>
  <c r="D12" i="48"/>
  <c r="B37" i="19"/>
  <c r="D75" i="26"/>
  <c r="D83" i="26"/>
  <c r="D91" i="26"/>
  <c r="D99" i="26"/>
  <c r="D107" i="26"/>
  <c r="D115" i="26"/>
  <c r="G31" i="37"/>
  <c r="D11" i="48"/>
  <c r="D13" i="48"/>
  <c r="D15" i="48"/>
  <c r="D17" i="48"/>
  <c r="D19" i="48"/>
  <c r="D21" i="48"/>
  <c r="D23" i="48"/>
  <c r="D25" i="48"/>
  <c r="D27" i="48"/>
  <c r="D29" i="48"/>
  <c r="D31" i="48"/>
  <c r="D33" i="48"/>
  <c r="D35" i="48"/>
  <c r="D37" i="48"/>
  <c r="D39" i="48"/>
  <c r="D41" i="48"/>
  <c r="D43" i="48"/>
  <c r="D45" i="48"/>
  <c r="D47" i="48"/>
  <c r="D122" i="27"/>
  <c r="D73" i="26"/>
  <c r="D81" i="26"/>
  <c r="D89" i="26"/>
  <c r="D97" i="26"/>
  <c r="D105" i="26"/>
  <c r="D113" i="26"/>
  <c r="D121" i="26"/>
  <c r="D26" i="27"/>
  <c r="D30" i="27"/>
  <c r="D34" i="27"/>
  <c r="D38" i="27"/>
  <c r="D42" i="27"/>
  <c r="D46" i="27"/>
  <c r="D50" i="27"/>
  <c r="D54" i="27"/>
  <c r="D58" i="27"/>
  <c r="D62" i="27"/>
  <c r="D66" i="27"/>
  <c r="D70" i="27"/>
  <c r="D74" i="27"/>
  <c r="D78" i="27"/>
  <c r="D82" i="27"/>
  <c r="D86" i="27"/>
  <c r="D90" i="27"/>
  <c r="D94" i="27"/>
  <c r="D98" i="27"/>
  <c r="D102" i="27"/>
  <c r="D106" i="27"/>
  <c r="D110" i="27"/>
  <c r="D114" i="27"/>
  <c r="D118" i="27"/>
  <c r="G25" i="37"/>
  <c r="D76" i="26"/>
  <c r="D84" i="26"/>
  <c r="D92" i="26"/>
  <c r="D100" i="26"/>
  <c r="D108" i="26"/>
  <c r="D116" i="26"/>
  <c r="D37" i="26"/>
  <c r="D24" i="27"/>
  <c r="D28" i="27"/>
  <c r="D32" i="27"/>
  <c r="D36" i="27"/>
  <c r="D40" i="27"/>
  <c r="D44" i="27"/>
  <c r="D48" i="27"/>
  <c r="D52" i="27"/>
  <c r="D56" i="27"/>
  <c r="D60" i="27"/>
  <c r="D64" i="27"/>
  <c r="D68" i="27"/>
  <c r="D72" i="27"/>
  <c r="D76" i="27"/>
  <c r="D80" i="27"/>
  <c r="D84" i="27"/>
  <c r="D88" i="27"/>
  <c r="D92" i="27"/>
  <c r="D96" i="27"/>
  <c r="D100" i="27"/>
  <c r="D104" i="27"/>
  <c r="D108" i="27"/>
  <c r="D112" i="27"/>
  <c r="D116" i="27"/>
  <c r="D120" i="27"/>
  <c r="H25" i="37"/>
</calcChain>
</file>

<file path=xl/sharedStrings.xml><?xml version="1.0" encoding="utf-8"?>
<sst xmlns="http://schemas.openxmlformats.org/spreadsheetml/2006/main" count="1220" uniqueCount="602">
  <si>
    <t>Beispiel</t>
  </si>
  <si>
    <t>Formel</t>
  </si>
  <si>
    <t>Kumuliert Ja</t>
  </si>
  <si>
    <t>Kumuliert Nein</t>
  </si>
  <si>
    <t>Aussagen:</t>
  </si>
  <si>
    <t>Argumente für die Normalverteilung</t>
  </si>
  <si>
    <t>Mittelwert</t>
  </si>
  <si>
    <t>Standardabweichung</t>
  </si>
  <si>
    <t>Funktion</t>
  </si>
  <si>
    <t>Ergebnis</t>
  </si>
  <si>
    <t>Werte</t>
  </si>
  <si>
    <t>Erkältung</t>
  </si>
  <si>
    <t>Summe</t>
  </si>
  <si>
    <t>Beobachtete Werte</t>
  </si>
  <si>
    <t>Vitamin C</t>
  </si>
  <si>
    <t>Erwartete Werte</t>
  </si>
  <si>
    <t>Funktion  engl.</t>
  </si>
  <si>
    <t>Gruppe</t>
  </si>
  <si>
    <t>Statistische Funktionen</t>
  </si>
  <si>
    <t>Syntax</t>
  </si>
  <si>
    <t>Argumente</t>
  </si>
  <si>
    <t>Der zu prüfende Wert x</t>
  </si>
  <si>
    <t>Gemessene Brennleistung in Stunden</t>
  </si>
  <si>
    <r>
      <t>Wahrsch</t>
    </r>
    <r>
      <rPr>
        <sz val="10"/>
        <color indexed="59"/>
        <rFont val="Arial"/>
        <family val="2"/>
      </rPr>
      <t xml:space="preserve"> ist die zur Standardnormalverteilung gehörige Wahrscheinlichkeit.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Stabwn</t>
    </r>
    <r>
      <rPr>
        <sz val="10"/>
        <color indexed="59"/>
        <rFont val="Arial"/>
        <family val="2"/>
      </rPr>
      <t xml:space="preserve"> ist die Standardabweichung der Verteilung.</t>
    </r>
  </si>
  <si>
    <t>Wahrscheinlichkeit</t>
  </si>
  <si>
    <t>Wie hoch ist die Brennleistung von 85% der Glühbirnen bei einem Mittelwert von 2000 Stunden und einer 
Standardabweichung von 579?</t>
  </si>
  <si>
    <t>Wie hoch ist die Brennleistung von 15% der Glühbirnen bei einem Mittelwert von 2000 Stunden und einer 
Standardabweichung von 579?</t>
  </si>
  <si>
    <t>Argumente für die Funktion</t>
  </si>
  <si>
    <t>AnzahlErfolge</t>
  </si>
  <si>
    <t>Versuche</t>
  </si>
  <si>
    <t>Erfolgswahrscheinlichkeit</t>
  </si>
  <si>
    <t>Wie hoch ist die Wahrscheinlichkeit, dass Ihnen 66 Personen von insgesamt 100 Befragten den gesuchten Weg zu einem bestimmten Ort erklären können?</t>
  </si>
  <si>
    <r>
      <t>BeobachteteWerte</t>
    </r>
    <r>
      <rPr>
        <sz val="10"/>
        <color indexed="59"/>
        <rFont val="Arial"/>
        <family val="2"/>
      </rPr>
      <t xml:space="preserve"> ist der Bereich beobachteter Daten, mit dem Sie die erwarteten Werte testen möchten.
</t>
    </r>
    <r>
      <rPr>
        <b/>
        <i/>
        <sz val="10"/>
        <color indexed="59"/>
        <rFont val="Arial"/>
        <family val="2"/>
      </rPr>
      <t>ErwarteteWerte</t>
    </r>
    <r>
      <rPr>
        <sz val="10"/>
        <color indexed="59"/>
        <rFont val="Arial"/>
        <family val="2"/>
      </rPr>
      <t xml:space="preserve"> ist der Bereich erwarteter Beobachtungen, die sich aus der Division der miteinander multiplizierten Rangsummen und der Gesamtsumme berechnen.</t>
    </r>
  </si>
  <si>
    <t>Kein Vitamin C</t>
  </si>
  <si>
    <t>=SUMME(C10:D10)</t>
  </si>
  <si>
    <t>=SUMME(C11:D11)</t>
  </si>
  <si>
    <t>=SUMME(E10:E11)</t>
  </si>
  <si>
    <t>=SUMME(C14:D14)</t>
  </si>
  <si>
    <t>=SUMME(C15:D15)</t>
  </si>
  <si>
    <t>=SUMME(E14:E15)</t>
  </si>
  <si>
    <t>Keine Erkältung</t>
  </si>
  <si>
    <t>Aussage:</t>
  </si>
  <si>
    <t>Wie hoch das Signifikanzniveau der Werte? Können die Stichproben als zufällig bezeichnet werden?</t>
  </si>
  <si>
    <r>
      <t>Wahrscheinlichkeit</t>
    </r>
    <r>
      <rPr>
        <sz val="10"/>
        <color indexed="59"/>
        <rFont val="Arial"/>
        <family val="2"/>
      </rPr>
      <t xml:space="preserve"> ist die zur γ2 -Verteilung gehörende Wahrscheinlichkeit.
</t>
    </r>
    <r>
      <rPr>
        <b/>
        <i/>
        <sz val="10"/>
        <color indexed="59"/>
        <rFont val="Arial"/>
        <family val="2"/>
      </rPr>
      <t>FreiheitsGrade</t>
    </r>
    <r>
      <rPr>
        <sz val="10"/>
        <color indexed="59"/>
        <rFont val="Arial"/>
        <family val="2"/>
      </rPr>
      <t xml:space="preserve"> gibt den Grad der Freiheit an.</t>
    </r>
  </si>
  <si>
    <t>FreiheitsGrade</t>
  </si>
  <si>
    <t>=ANZAHL(C11:C12)-1</t>
  </si>
  <si>
    <t>Kritischer Wert</t>
  </si>
  <si>
    <t>Ermittlung der Prüfgröße c / Kritischer Wert</t>
  </si>
  <si>
    <t>=(C11-C15)^2/C15</t>
  </si>
  <si>
    <t>=(C12-C16)^2/C16</t>
  </si>
  <si>
    <t>v=SUMME(D28:D29)</t>
  </si>
  <si>
    <t>Ermittlung der Prüfgröße v / Maß für Gesamtabweichung</t>
  </si>
  <si>
    <t>= vorgegeben</t>
  </si>
  <si>
    <t>Ist v kleiner als der kritische Wert, dann wird die Nullhypothese angenommen</t>
  </si>
  <si>
    <t>Ist v größer als der kritische Wert, dann wird die Nullhypothese abgelehnt</t>
  </si>
  <si>
    <r>
      <t>x</t>
    </r>
    <r>
      <rPr>
        <sz val="10"/>
        <color indexed="59"/>
        <rFont val="Arial"/>
        <family val="2"/>
      </rPr>
      <t xml:space="preserve"> ist der Wert (Quantil), dessen Wahrscheinlichkeit (1-Alpha) Sie berechnen möchten.
</t>
    </r>
    <r>
      <rPr>
        <b/>
        <i/>
        <sz val="10"/>
        <color indexed="59"/>
        <rFont val="Arial"/>
        <family val="2"/>
      </rPr>
      <t>FreiheitsGrade</t>
    </r>
    <r>
      <rPr>
        <sz val="10"/>
        <color indexed="59"/>
        <rFont val="Arial"/>
        <family val="2"/>
      </rPr>
      <t xml:space="preserve"> gibt den Grad der Freiheit an.</t>
    </r>
  </si>
  <si>
    <t>v =SUMME(D27:D28)</t>
  </si>
  <si>
    <t>Ermittlung der "Irrtumswahrscheinlichkeit" für v</t>
  </si>
  <si>
    <t>Wahrscheinlichkeit = Signifikanzniveau a</t>
  </si>
  <si>
    <t>Daraus folgt, die Nullhypothese kann angenommen werden.</t>
  </si>
  <si>
    <r>
      <t xml:space="preserve">Signifikanzniveau </t>
    </r>
    <r>
      <rPr>
        <sz val="10"/>
        <rFont val="Symbol"/>
        <family val="1"/>
        <charset val="2"/>
      </rPr>
      <t>a</t>
    </r>
    <r>
      <rPr>
        <sz val="10"/>
        <rFont val="Arial"/>
        <family val="2"/>
      </rPr>
      <t>=</t>
    </r>
  </si>
  <si>
    <r>
      <t>Stichprobenumfang N</t>
    </r>
    <r>
      <rPr>
        <vertAlign val="subscript"/>
        <sz val="8.8000000000000007"/>
        <rFont val="Arial"/>
        <family val="2"/>
      </rPr>
      <t>1</t>
    </r>
    <r>
      <rPr>
        <sz val="10"/>
        <rFont val="Arial"/>
        <family val="2"/>
      </rPr>
      <t>=</t>
    </r>
  </si>
  <si>
    <r>
      <t>Stichprobenumfang N</t>
    </r>
    <r>
      <rPr>
        <vertAlign val="subscript"/>
        <sz val="8.8000000000000007"/>
        <rFont val="Arial"/>
        <family val="2"/>
      </rPr>
      <t>2</t>
    </r>
    <r>
      <rPr>
        <sz val="10"/>
        <rFont val="Arial"/>
        <family val="2"/>
      </rPr>
      <t>=</t>
    </r>
  </si>
  <si>
    <r>
      <t>Freiheitsgrade = N</t>
    </r>
    <r>
      <rPr>
        <vertAlign val="subscript"/>
        <sz val="10"/>
        <rFont val="Arial"/>
        <family val="2"/>
      </rPr>
      <t>1</t>
    </r>
    <r>
      <rPr>
        <sz val="10"/>
        <rFont val="Arial"/>
        <family val="2"/>
      </rPr>
      <t>+N</t>
    </r>
    <r>
      <rPr>
        <vertAlign val="subscript"/>
        <sz val="10"/>
        <rFont val="Arial"/>
        <family val="2"/>
      </rPr>
      <t>2</t>
    </r>
    <r>
      <rPr>
        <sz val="10"/>
        <rFont val="Arial"/>
        <family val="2"/>
      </rPr>
      <t>-2 =</t>
    </r>
  </si>
  <si>
    <r>
      <t>Wahrsch</t>
    </r>
    <r>
      <rPr>
        <sz val="10"/>
        <color indexed="59"/>
        <rFont val="Arial"/>
        <family val="2"/>
      </rPr>
      <t xml:space="preserve"> ist die zur t-Verteilung gehörige Wahrscheinlichkeit (zweiseitig).
</t>
    </r>
    <r>
      <rPr>
        <b/>
        <i/>
        <sz val="10"/>
        <color indexed="59"/>
        <rFont val="Arial"/>
        <family val="2"/>
      </rPr>
      <t>Freiheitsgrade</t>
    </r>
    <r>
      <rPr>
        <sz val="10"/>
        <color indexed="59"/>
        <rFont val="Arial"/>
        <family val="2"/>
      </rPr>
      <t xml:space="preserve"> ist die Anzahl der Freiheitsgrade, durch die die Verteilung gekennzeichnet ist.</t>
    </r>
  </si>
  <si>
    <r>
      <t>Gruppe 1 x</t>
    </r>
    <r>
      <rPr>
        <b/>
        <vertAlign val="subscript"/>
        <sz val="12"/>
        <color indexed="9"/>
        <rFont val="Arial"/>
        <family val="2"/>
      </rPr>
      <t>1</t>
    </r>
  </si>
  <si>
    <r>
      <t>Gruppe 2 x</t>
    </r>
    <r>
      <rPr>
        <b/>
        <vertAlign val="subscript"/>
        <sz val="12"/>
        <color indexed="9"/>
        <rFont val="Arial"/>
        <family val="2"/>
      </rPr>
      <t>2</t>
    </r>
  </si>
  <si>
    <r>
      <t>Beob. Mittelwert X</t>
    </r>
    <r>
      <rPr>
        <vertAlign val="subscript"/>
        <sz val="8.8000000000000007"/>
        <rFont val="Arial"/>
        <family val="2"/>
      </rPr>
      <t>1</t>
    </r>
    <r>
      <rPr>
        <sz val="10"/>
        <rFont val="Arial"/>
        <family val="2"/>
      </rPr>
      <t>' =</t>
    </r>
  </si>
  <si>
    <r>
      <t>Beob. Mittelwert X</t>
    </r>
    <r>
      <rPr>
        <vertAlign val="subscript"/>
        <sz val="8.8000000000000007"/>
        <rFont val="Arial"/>
        <family val="2"/>
      </rPr>
      <t>2</t>
    </r>
    <r>
      <rPr>
        <sz val="10"/>
        <rFont val="Arial"/>
        <family val="2"/>
      </rPr>
      <t>' =</t>
    </r>
  </si>
  <si>
    <t>Berechnete/gegebene Werte</t>
  </si>
  <si>
    <t>Wert</t>
  </si>
  <si>
    <t>Prüfgröße t</t>
  </si>
  <si>
    <t xml:space="preserve">Aussage: </t>
  </si>
  <si>
    <t>Kritische Wert</t>
  </si>
  <si>
    <r>
      <t>Hinweis:</t>
    </r>
    <r>
      <rPr>
        <sz val="10"/>
        <rFont val="Arial"/>
        <family val="2"/>
      </rPr>
      <t xml:space="preserve"> Der kritische Wert wurde für einen 2-seitigen Test auf Basis des Signifikanzniveaus </t>
    </r>
  </si>
  <si>
    <t>=SUMME(B9:B18)/ANZAHL(B9:B18)</t>
  </si>
  <si>
    <t>= festgelegt</t>
  </si>
  <si>
    <t>=ANZAHL(B9:B18)</t>
  </si>
  <si>
    <t>=ANZAHL(C9:C18)</t>
  </si>
  <si>
    <t>=F12+F13-2</t>
  </si>
  <si>
    <t>von 0,05 und einer Anzahl an 17 Freiheitsgraden (alle Stichprobenwerte) berechnet</t>
  </si>
  <si>
    <r>
      <t>Hinweis</t>
    </r>
    <r>
      <rPr>
        <sz val="10"/>
        <rFont val="Arial"/>
        <family val="2"/>
      </rPr>
      <t>: im einseitigen T-Test wird das Signifikanzniveau verdoppelt!</t>
    </r>
  </si>
  <si>
    <t>GESUCHT</t>
  </si>
  <si>
    <t>= gegeben</t>
  </si>
  <si>
    <t>Der t-Wert für die Anzahl der untersuchten Stichproben auf Basis einer bestimmten
Wahrscheinlichkeit beträgt 1,7396. Dieser kritische Wert ist eine Prüfgröße und dient weiteren
Untersuchungen bezüglich der Nullhypothese.</t>
  </si>
  <si>
    <r>
      <t>Matrix1</t>
    </r>
    <r>
      <rPr>
        <sz val="10"/>
        <color indexed="59"/>
        <rFont val="Arial"/>
        <family val="2"/>
      </rPr>
      <t xml:space="preserve"> ist die erste Matrix oder der erste Wertebereich.
</t>
    </r>
    <r>
      <rPr>
        <b/>
        <i/>
        <sz val="10"/>
        <color indexed="59"/>
        <rFont val="Arial"/>
        <family val="2"/>
      </rPr>
      <t>Matrix2</t>
    </r>
    <r>
      <rPr>
        <sz val="10"/>
        <color indexed="59"/>
        <rFont val="Arial"/>
        <family val="2"/>
      </rPr>
      <t xml:space="preserve"> ist die zweite Matrix oder der zweite Wertebereich.</t>
    </r>
  </si>
  <si>
    <r>
      <t>x</t>
    </r>
    <r>
      <rPr>
        <sz val="10"/>
        <color indexed="59"/>
        <rFont val="Arial"/>
        <family val="2"/>
      </rPr>
      <t xml:space="preserve"> ist der Wert, für den die Funktion ausgewertet werden soll.
</t>
    </r>
    <r>
      <rPr>
        <b/>
        <i/>
        <sz val="10"/>
        <color indexed="59"/>
        <rFont val="Arial"/>
        <family val="2"/>
      </rPr>
      <t>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t>
    </r>
  </si>
  <si>
    <r>
      <t xml:space="preserve">Wahrsch </t>
    </r>
    <r>
      <rPr>
        <sz val="10"/>
        <color indexed="59"/>
        <rFont val="Arial"/>
        <family val="2"/>
      </rPr>
      <t>ist die zur F-Verteilung gehörige Wahrscheinlichkeit.</t>
    </r>
    <r>
      <rPr>
        <b/>
        <i/>
        <sz val="10"/>
        <color indexed="59"/>
        <rFont val="Arial"/>
        <family val="2"/>
      </rPr>
      <t xml:space="preserve">
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t>
    </r>
  </si>
  <si>
    <t>Signifikanzniveau =</t>
  </si>
  <si>
    <t>Freiheitsgrade 1 (zwischen den Gruppen) =</t>
  </si>
  <si>
    <t>Freiheitsgrade 2 (innerhalb der Gruppen) =</t>
  </si>
  <si>
    <r>
      <t>F</t>
    </r>
    <r>
      <rPr>
        <vertAlign val="subscript"/>
        <sz val="14"/>
        <rFont val="Arial"/>
        <family val="2"/>
      </rPr>
      <t>krit</t>
    </r>
    <r>
      <rPr>
        <sz val="14"/>
        <rFont val="Arial"/>
        <family val="2"/>
      </rPr>
      <t xml:space="preserve"> =</t>
    </r>
  </si>
  <si>
    <t>Freiheitsgrade 1</t>
  </si>
  <si>
    <t>Freiheitsgrade 2</t>
  </si>
  <si>
    <r>
      <t>Beob. Varianz X</t>
    </r>
    <r>
      <rPr>
        <vertAlign val="subscript"/>
        <sz val="8.8000000000000007"/>
        <rFont val="Arial"/>
        <family val="2"/>
      </rPr>
      <t>1</t>
    </r>
    <r>
      <rPr>
        <sz val="10"/>
        <rFont val="Arial"/>
        <family val="2"/>
      </rPr>
      <t>' =</t>
    </r>
  </si>
  <si>
    <r>
      <t>Beob. Varianz X</t>
    </r>
    <r>
      <rPr>
        <vertAlign val="subscript"/>
        <sz val="8.8000000000000007"/>
        <rFont val="Arial"/>
        <family val="2"/>
      </rPr>
      <t>2</t>
    </r>
    <r>
      <rPr>
        <sz val="10"/>
        <rFont val="Arial"/>
        <family val="2"/>
      </rPr>
      <t>' =</t>
    </r>
  </si>
  <si>
    <t>Gruppe I</t>
  </si>
  <si>
    <t>Gruppe II</t>
  </si>
  <si>
    <t>Gruppe III</t>
  </si>
  <si>
    <t>ZUSAMMENFASSUNG</t>
  </si>
  <si>
    <t>Gruppen</t>
  </si>
  <si>
    <t>Anzahl</t>
  </si>
  <si>
    <t>Varianz</t>
  </si>
  <si>
    <t>ANOVA</t>
  </si>
  <si>
    <t>Streuungsursache</t>
  </si>
  <si>
    <t>Freiheits-
grade (df)</t>
  </si>
  <si>
    <t>Mittlere Quadratsumme (MS)</t>
  </si>
  <si>
    <t>Prüfgröße (F)</t>
  </si>
  <si>
    <t>P-Wert</t>
  </si>
  <si>
    <t>kritischer F-Wert</t>
  </si>
  <si>
    <t>Unterschiede</t>
  </si>
  <si>
    <t>Gesamt</t>
  </si>
  <si>
    <t>Quadratsummen (SS)</t>
  </si>
  <si>
    <t>- zwischen den Gruppen</t>
  </si>
  <si>
    <t>- innerhalb der Gruppen</t>
  </si>
  <si>
    <r>
      <t xml:space="preserve">Ist der Wert der berechneten Prüfgröße </t>
    </r>
    <r>
      <rPr>
        <i/>
        <sz val="10"/>
        <rFont val="Arial"/>
        <family val="2"/>
      </rPr>
      <t>F</t>
    </r>
    <r>
      <rPr>
        <sz val="10"/>
        <rFont val="Arial"/>
        <family val="2"/>
      </rPr>
      <t xml:space="preserve"> größer oder gleich </t>
    </r>
    <r>
      <rPr>
        <i/>
        <sz val="10"/>
        <rFont val="Arial"/>
        <family val="2"/>
      </rPr>
      <t>Fkrit</t>
    </r>
    <r>
      <rPr>
        <sz val="10"/>
        <rFont val="Arial"/>
        <family val="2"/>
      </rPr>
      <t xml:space="preserve">, so wird die Nullhypothese abgelehnt. </t>
    </r>
  </si>
  <si>
    <r>
      <t xml:space="preserve">F-Tabelle zur Berechnung von </t>
    </r>
    <r>
      <rPr>
        <b/>
        <i/>
        <sz val="12"/>
        <rFont val="Arial"/>
        <family val="2"/>
      </rPr>
      <t>Fkritisch</t>
    </r>
  </si>
  <si>
    <t>F-Tabelle zur Berechnung von Fkrit</t>
  </si>
  <si>
    <t>Link</t>
  </si>
  <si>
    <t xml:space="preserve">Signifikanzniveau </t>
  </si>
  <si>
    <t xml:space="preserve">Freiheitsgrade 1 (zwischen den Gruppen) </t>
  </si>
  <si>
    <t>Freiheitsgrade 2 (innerhalb der Gruppen)</t>
  </si>
  <si>
    <t>?</t>
  </si>
  <si>
    <r>
      <t>GESUCHT = F</t>
    </r>
    <r>
      <rPr>
        <b/>
        <vertAlign val="subscript"/>
        <sz val="14"/>
        <color indexed="9"/>
        <rFont val="Arial"/>
        <family val="2"/>
      </rPr>
      <t>krit</t>
    </r>
    <r>
      <rPr>
        <b/>
        <sz val="14"/>
        <color indexed="9"/>
        <rFont val="Arial"/>
        <family val="2"/>
      </rPr>
      <t xml:space="preserve"> </t>
    </r>
  </si>
  <si>
    <t xml:space="preserve">GESUCHT = Signifikanzniveau </t>
  </si>
  <si>
    <t>Prüfgröße F</t>
  </si>
  <si>
    <r>
      <t>F</t>
    </r>
    <r>
      <rPr>
        <b/>
        <vertAlign val="subscript"/>
        <sz val="14"/>
        <rFont val="Arial"/>
        <family val="2"/>
      </rPr>
      <t>krit</t>
    </r>
    <r>
      <rPr>
        <b/>
        <sz val="14"/>
        <rFont val="Arial"/>
        <family val="2"/>
      </rPr>
      <t xml:space="preserve"> </t>
    </r>
  </si>
  <si>
    <r>
      <t>FVERT für F</t>
    </r>
    <r>
      <rPr>
        <b/>
        <i/>
        <sz val="10"/>
        <color indexed="9"/>
        <rFont val="Arial"/>
        <family val="2"/>
      </rPr>
      <t>krit</t>
    </r>
    <r>
      <rPr>
        <b/>
        <sz val="10"/>
        <color indexed="9"/>
        <rFont val="Arial"/>
        <family val="2"/>
      </rPr>
      <t xml:space="preserve"> (Signifikanzniveau)</t>
    </r>
  </si>
  <si>
    <t>FVERT für Prüfgröße F</t>
  </si>
  <si>
    <r>
      <t xml:space="preserve">Ist der Wert der Prüfgröße </t>
    </r>
    <r>
      <rPr>
        <i/>
        <sz val="10"/>
        <rFont val="Arial"/>
        <family val="2"/>
      </rPr>
      <t>F</t>
    </r>
    <r>
      <rPr>
        <sz val="10"/>
        <rFont val="Arial"/>
        <family val="2"/>
      </rPr>
      <t xml:space="preserve"> größer oder gleich dem Signifikanzniveau </t>
    </r>
    <r>
      <rPr>
        <i/>
        <sz val="10"/>
        <rFont val="Arial"/>
        <family val="2"/>
      </rPr>
      <t>a</t>
    </r>
    <r>
      <rPr>
        <sz val="10"/>
        <rFont val="Arial"/>
        <family val="2"/>
      </rPr>
      <t xml:space="preserve">, so wird die Nullhypothese abgelehnt. </t>
    </r>
  </si>
  <si>
    <t>BETAINV()</t>
  </si>
  <si>
    <r>
      <t>Wahrscheinlichkeit</t>
    </r>
    <r>
      <rPr>
        <sz val="10"/>
        <color indexed="59"/>
        <rFont val="Arial"/>
        <family val="2"/>
      </rPr>
      <t xml:space="preserve"> ist die zur Betaverteilung gehörende Wahrscheinlichkeit.
</t>
    </r>
    <r>
      <rPr>
        <b/>
        <i/>
        <sz val="10"/>
        <color indexed="59"/>
        <rFont val="Arial"/>
        <family val="2"/>
      </rPr>
      <t>Alpha</t>
    </r>
    <r>
      <rPr>
        <sz val="10"/>
        <color indexed="59"/>
        <rFont val="Arial"/>
        <family val="2"/>
      </rPr>
      <t xml:space="preserve"> ist ein Parameter der Verteilung.
</t>
    </r>
    <r>
      <rPr>
        <b/>
        <i/>
        <sz val="10"/>
        <color indexed="59"/>
        <rFont val="Arial"/>
        <family val="2"/>
      </rPr>
      <t xml:space="preserve">Beta </t>
    </r>
    <r>
      <rPr>
        <sz val="10"/>
        <color indexed="59"/>
        <rFont val="Arial"/>
        <family val="2"/>
      </rPr>
      <t xml:space="preserve">ist ein Parameter der Verteilung.
</t>
    </r>
    <r>
      <rPr>
        <i/>
        <sz val="10"/>
        <color indexed="59"/>
        <rFont val="Arial"/>
        <family val="2"/>
      </rPr>
      <t>A</t>
    </r>
    <r>
      <rPr>
        <sz val="10"/>
        <color indexed="59"/>
        <rFont val="Arial"/>
        <family val="2"/>
      </rPr>
      <t xml:space="preserve"> ist die optionale untere Grenze des Intervalls für X.
</t>
    </r>
    <r>
      <rPr>
        <i/>
        <sz val="10"/>
        <color indexed="59"/>
        <rFont val="Arial"/>
        <family val="2"/>
      </rPr>
      <t>B</t>
    </r>
    <r>
      <rPr>
        <sz val="10"/>
        <color indexed="59"/>
        <rFont val="Arial"/>
        <family val="2"/>
      </rPr>
      <t xml:space="preserve"> ist die optionale obere Grenze des Intervalls für X.</t>
    </r>
  </si>
  <si>
    <t>x</t>
  </si>
  <si>
    <t>p</t>
  </si>
  <si>
    <t>q</t>
  </si>
  <si>
    <t>BETAINV berechnet die Stelle x auf der horizontalen Achse, die dem kumulierten Flächenanteil der Betaverteilung entspricht.</t>
  </si>
  <si>
    <t>Kumulierter Flächenanteil</t>
  </si>
  <si>
    <t>Eingabefelder</t>
  </si>
  <si>
    <t>p=Alpha</t>
  </si>
  <si>
    <t>q=Beta</t>
  </si>
  <si>
    <t>x=Wahrsch</t>
  </si>
  <si>
    <t>Dichtefunktion</t>
  </si>
  <si>
    <t>Grenzwahrscheinlichkeit (~Alpha Risiko)</t>
  </si>
  <si>
    <t>Wie oft darf die Antwort »Ja« mit der Wahrscheinlichkeit p = 0,5 beim Durchführen einer Stichprobe mit n = 100 Wiederholungen höchstens eintreten, bevor die kumulierte Wahrscheinlichkeit einen Wert größer oder gleich der Irrtumswahrscheinlichkeit Alpha annimmt?</t>
  </si>
  <si>
    <t>Stichprobengrösse n</t>
  </si>
  <si>
    <t>Erfolgswahrscheinlichkeit p</t>
  </si>
  <si>
    <r>
      <t>Versuche</t>
    </r>
    <r>
      <rPr>
        <sz val="10"/>
        <color indexed="59"/>
        <rFont val="Arial"/>
        <family val="2"/>
      </rPr>
      <t xml:space="preserve"> ist die Anzahl der Bernoulli-Experimente.
</t>
    </r>
    <r>
      <rPr>
        <b/>
        <i/>
        <sz val="10"/>
        <color indexed="59"/>
        <rFont val="Arial"/>
        <family val="2"/>
      </rPr>
      <t>ErfolgsWahrscheinlichkeit</t>
    </r>
    <r>
      <rPr>
        <sz val="10"/>
        <color indexed="59"/>
        <rFont val="Arial"/>
        <family val="2"/>
      </rPr>
      <t xml:space="preserve"> ist die Wahrscheinlichkeit eines Erfolgs für jeden Versuch.
</t>
    </r>
    <r>
      <rPr>
        <b/>
        <i/>
        <sz val="10"/>
        <color indexed="59"/>
        <rFont val="Arial"/>
        <family val="2"/>
      </rPr>
      <t>Alpha</t>
    </r>
    <r>
      <rPr>
        <sz val="10"/>
        <color indexed="59"/>
        <rFont val="Arial"/>
        <family val="2"/>
      </rPr>
      <t xml:space="preserve"> ist die Grenzwahrscheinlichkeit</t>
    </r>
  </si>
  <si>
    <t>Bezogen auf eine Grenzwahrscheinlichkeit von 0,1% dürfen höchstens 35 "Ja"-Antworten gegeben werden, bevor die kumulierte Wahrscheinlichkeite einen Wert größer oder gleich der Irrtumswahrscheinlichkeit Alpha annimmt.</t>
  </si>
  <si>
    <r>
      <t>Zahl_Misserfolge</t>
    </r>
    <r>
      <rPr>
        <sz val="10"/>
        <color indexed="59"/>
        <rFont val="Arial"/>
        <family val="2"/>
      </rPr>
      <t xml:space="preserve"> ist die Zahl der ungünstigen Ereignisse.
</t>
    </r>
    <r>
      <rPr>
        <b/>
        <i/>
        <sz val="10"/>
        <color indexed="59"/>
        <rFont val="Arial"/>
        <family val="2"/>
      </rPr>
      <t>Zahl_Erfolge</t>
    </r>
    <r>
      <rPr>
        <sz val="10"/>
        <color indexed="59"/>
        <rFont val="Arial"/>
        <family val="2"/>
      </rPr>
      <t xml:space="preserve"> ist die Zahl der günstigen Ereignisse.
</t>
    </r>
    <r>
      <rPr>
        <b/>
        <i/>
        <sz val="10"/>
        <color indexed="59"/>
        <rFont val="Arial"/>
        <family val="2"/>
      </rPr>
      <t xml:space="preserve">Erfolgswahrsch </t>
    </r>
    <r>
      <rPr>
        <sz val="10"/>
        <color indexed="59"/>
        <rFont val="Arial"/>
        <family val="2"/>
      </rPr>
      <t>ist die Wahrscheinlichkeit für den günstigen Ausgang des Experiments.</t>
    </r>
  </si>
  <si>
    <t>AnzahlMisserfolge</t>
  </si>
  <si>
    <t>Beispiele</t>
  </si>
  <si>
    <t>Aussage für AnzahlMisserfolge = 6</t>
  </si>
  <si>
    <r>
      <t>WAHRSCHBEREICH(</t>
    </r>
    <r>
      <rPr>
        <b/>
        <i/>
        <sz val="12"/>
        <color indexed="59"/>
        <rFont val="Arial"/>
        <family val="2"/>
      </rPr>
      <t>Beob_Werte;Beob_Wahrsch;Untergrenze;</t>
    </r>
    <r>
      <rPr>
        <i/>
        <sz val="12"/>
        <color indexed="59"/>
        <rFont val="Arial"/>
        <family val="2"/>
      </rPr>
      <t>Obergrenze</t>
    </r>
    <r>
      <rPr>
        <b/>
        <sz val="12"/>
        <color indexed="59"/>
        <rFont val="Arial"/>
        <family val="2"/>
      </rPr>
      <t>)</t>
    </r>
  </si>
  <si>
    <t>WAHRSCHBEREICH()</t>
  </si>
  <si>
    <r>
      <t>Beob_Werte</t>
    </r>
    <r>
      <rPr>
        <sz val="10"/>
        <color indexed="59"/>
        <rFont val="Arial"/>
        <family val="2"/>
      </rPr>
      <t xml:space="preserve"> ist ein Bereich von Realisationen der Zufallsvariablen, denen Wahrscheinlichkeiten zugeordnet sind.
</t>
    </r>
    <r>
      <rPr>
        <b/>
        <i/>
        <sz val="10"/>
        <color indexed="59"/>
        <rFont val="Arial"/>
        <family val="2"/>
      </rPr>
      <t>Beob_Wahrsch</t>
    </r>
    <r>
      <rPr>
        <sz val="10"/>
        <color indexed="59"/>
        <rFont val="Arial"/>
        <family val="2"/>
      </rPr>
      <t xml:space="preserve"> sind die Wahrscheinlichkeiten zu den beobachteten Werten.
</t>
    </r>
    <r>
      <rPr>
        <b/>
        <i/>
        <sz val="10"/>
        <color indexed="59"/>
        <rFont val="Arial"/>
        <family val="2"/>
      </rPr>
      <t>Untergrenze</t>
    </r>
    <r>
      <rPr>
        <sz val="10"/>
        <color indexed="59"/>
        <rFont val="Arial"/>
        <family val="2"/>
      </rPr>
      <t xml:space="preserve"> ist die untere Grenze der Werte, deren Wahrscheinlichkeit berechnet werden soll.
</t>
    </r>
    <r>
      <rPr>
        <i/>
        <sz val="10"/>
        <color indexed="59"/>
        <rFont val="Arial"/>
        <family val="2"/>
      </rPr>
      <t>Obergrenze</t>
    </r>
    <r>
      <rPr>
        <sz val="10"/>
        <color indexed="59"/>
        <rFont val="Arial"/>
        <family val="2"/>
      </rPr>
      <t xml:space="preserve"> ist die optionale obere Grenze der Werte, deren Wahrscheinlichkeit berechnet werden soll.</t>
    </r>
  </si>
  <si>
    <t>PROB()</t>
  </si>
  <si>
    <t>Person</t>
  </si>
  <si>
    <t>Gewicht in kg</t>
  </si>
  <si>
    <t>Wahrschbereich 1</t>
  </si>
  <si>
    <t>Wahrschbereich 2</t>
  </si>
  <si>
    <t>Nur Untergrenze</t>
  </si>
  <si>
    <t>Frage 1</t>
  </si>
  <si>
    <t>Frage 2</t>
  </si>
  <si>
    <t>Antwort zu 1 (Berechnung Wahrschbereich 1)</t>
  </si>
  <si>
    <t>Antwort zu 2 (Berechnung Wahrschbereich 2)</t>
  </si>
  <si>
    <t>Wie hoch ist die Wahrscheinlichkeit, dass Person 6 genau dem Wert 4 entspricht, also 60 kg wiegt?</t>
  </si>
  <si>
    <t>Wie hoch ist die Wahrscheinlichkeit, dass Person 6 zwischen Wert 4 und 5 liegt, also zwischen 60 und 70kg wiegt?</t>
  </si>
  <si>
    <t>Die Wahrscheinlichkeit, dass Person 6 zwischen 60 und 70 kg wiegt beträgt 55%.</t>
  </si>
  <si>
    <t>Untergrenze/
Obergrenze</t>
  </si>
  <si>
    <t>Erfolge_S</t>
  </si>
  <si>
    <t>Erfolge_G</t>
  </si>
  <si>
    <t>Umfang_G</t>
  </si>
  <si>
    <t>Wie hoch ist die Gewinnchance beim Lotto 6 aus 49?</t>
  </si>
  <si>
    <t>Gewinnchance</t>
  </si>
  <si>
    <t>Antwort</t>
  </si>
  <si>
    <t>Die Wahrscheinlichkeit, genau 6 richtige Zahlen bei der Lottoziehung zu tippen, beträgt 0,000007%.</t>
  </si>
  <si>
    <t>Die Wahrscheinlichkeit, genau 5 richtige Zahlen bei der Lottoziehung zu tippen, beträgt 0,0018%.</t>
  </si>
  <si>
    <t>Die Wahrscheinlichkeit, genau 4 richtige Zahlen bei der Lottoziehung zu tippen, beträgt 0,10%.</t>
  </si>
  <si>
    <t>Die Wahrscheinlichkeit, genau 3 richtige Zahlen bei der Lottoziehung zu tippen, beträgt 1,77%.</t>
  </si>
  <si>
    <t>Die Wahrscheinlichkeit, genau 2 richtige Zahlen bei der Lottoziehung zu tippen, beträgt 13,24%.</t>
  </si>
  <si>
    <t>Die Wahrscheinlichkeit, genau 1 richtige Zahlen bei der Lottoziehung zu tippen, beträgt 41,3%.</t>
  </si>
  <si>
    <t>Die Wahrscheinlichkeit, genau 0 richtige Zahlen bei der Lottoziehung zu tippen, beträgt 43,6%.</t>
  </si>
  <si>
    <r>
      <t>Array</t>
    </r>
    <r>
      <rPr>
        <sz val="10"/>
        <color indexed="59"/>
        <rFont val="Arial"/>
        <family val="2"/>
      </rPr>
      <t xml:space="preserve"> ist das Array oder der Datenbereich, gegen das/den Sie µ0 testen möchten.
</t>
    </r>
    <r>
      <rPr>
        <b/>
        <i/>
        <sz val="10"/>
        <color indexed="59"/>
        <rFont val="Arial"/>
        <family val="2"/>
      </rPr>
      <t>µ0</t>
    </r>
    <r>
      <rPr>
        <sz val="10"/>
        <color indexed="59"/>
        <rFont val="Arial"/>
        <family val="2"/>
      </rPr>
      <t xml:space="preserve"> ist der zu testende Wert.
</t>
    </r>
    <r>
      <rPr>
        <i/>
        <sz val="10"/>
        <color indexed="59"/>
        <rFont val="Arial"/>
        <family val="2"/>
      </rPr>
      <t>Sigma</t>
    </r>
    <r>
      <rPr>
        <sz val="10"/>
        <color indexed="59"/>
        <rFont val="Arial"/>
        <family val="2"/>
      </rPr>
      <t xml:space="preserve"> ist die bekannte Standardabweichung der Grundgesamtheit. Fehlt dieses Argument, wird mit der Standardabweichung der jeweiligen Stichprobe gearbeitet.</t>
    </r>
  </si>
  <si>
    <t>GAMMAVERT</t>
  </si>
  <si>
    <t>Formfaktor</t>
  </si>
  <si>
    <t>Skalenparameter</t>
  </si>
  <si>
    <t>Formfaktor
Alpha</t>
  </si>
  <si>
    <t>Skalenparameter
Beta</t>
  </si>
  <si>
    <t>Dichtefunktion
=FALSCH</t>
  </si>
  <si>
    <t>Verteilungsfunktion
=WAHR</t>
  </si>
  <si>
    <t>GAMMAINV()</t>
  </si>
  <si>
    <t>Kumulierte Fläche</t>
  </si>
  <si>
    <t>GAMMALN()</t>
  </si>
  <si>
    <r>
      <t>GAMMALN(</t>
    </r>
    <r>
      <rPr>
        <b/>
        <i/>
        <sz val="12"/>
        <color indexed="59"/>
        <rFont val="Arial"/>
        <family val="2"/>
      </rPr>
      <t>x</t>
    </r>
    <r>
      <rPr>
        <b/>
        <sz val="12"/>
        <color indexed="59"/>
        <rFont val="Arial"/>
        <family val="2"/>
      </rPr>
      <t>)</t>
    </r>
  </si>
  <si>
    <r>
      <t xml:space="preserve">x </t>
    </r>
    <r>
      <rPr>
        <sz val="10"/>
        <color indexed="59"/>
        <rFont val="Arial"/>
        <family val="2"/>
      </rPr>
      <t>ist der Wert, für den GAMMALN berechnet werden soll.</t>
    </r>
  </si>
  <si>
    <t>FISHER()</t>
  </si>
  <si>
    <r>
      <t xml:space="preserve">x </t>
    </r>
    <r>
      <rPr>
        <sz val="10"/>
        <color indexed="59"/>
        <rFont val="Arial"/>
        <family val="2"/>
      </rPr>
      <t>ist ein numerischer Wert, für den Sie die Transformation durchführen möchten</t>
    </r>
  </si>
  <si>
    <r>
      <t>FISHER(</t>
    </r>
    <r>
      <rPr>
        <b/>
        <i/>
        <sz val="12"/>
        <color indexed="59"/>
        <rFont val="Arial"/>
        <family val="2"/>
      </rPr>
      <t>x</t>
    </r>
    <r>
      <rPr>
        <b/>
        <sz val="12"/>
        <color indexed="59"/>
        <rFont val="Arial"/>
        <family val="2"/>
      </rPr>
      <t>)</t>
    </r>
  </si>
  <si>
    <t>Monat</t>
  </si>
  <si>
    <t>Webzugriffe</t>
  </si>
  <si>
    <t>Bestellungen</t>
  </si>
  <si>
    <t>Unabhängig 
= x-Wert</t>
  </si>
  <si>
    <t>Abhängig 
= y-Wert</t>
  </si>
  <si>
    <t>Korrelationskoeffizient</t>
  </si>
  <si>
    <t>z-transformierter Wert</t>
  </si>
  <si>
    <t>Z-Wert 1 aus 2005</t>
  </si>
  <si>
    <t>Mittelwert aus den einzelnen Z-Werten</t>
  </si>
  <si>
    <t>Der mittlere Korrelationskoeffizient in Höhe von 0,7927 steht für eine positive Korrelation. Denn je näher der Korrelationskoeffizient gegen 1 strebt, desto perfekter der Zusammenhang. 
Das heißt, dass die Datenreihen Webseitenzugriffe und Bestellungen linear voneinander abhängig sind. 
Anders ausgedrückt bedeutet der Korrelationskoeffizient von 0,7927, das wenn sich die Anzahl der Webseitenzugriffe, bspw. durch verschiedene Marketingaktionen, erhöht, auch die Anzahl der Bestellungen über das Web steigt.</t>
  </si>
  <si>
    <t>FISHERINV()</t>
  </si>
  <si>
    <r>
      <t xml:space="preserve">y  </t>
    </r>
    <r>
      <rPr>
        <sz val="10"/>
        <color indexed="59"/>
        <rFont val="Arial"/>
        <family val="2"/>
      </rPr>
      <t>ist der Wert, dessen Transformation Sie umkehren möchten.</t>
    </r>
  </si>
  <si>
    <r>
      <t>FISHERINV(</t>
    </r>
    <r>
      <rPr>
        <b/>
        <i/>
        <sz val="12"/>
        <color indexed="59"/>
        <rFont val="Arial"/>
        <family val="2"/>
      </rPr>
      <t>y</t>
    </r>
    <r>
      <rPr>
        <b/>
        <sz val="12"/>
        <color indexed="59"/>
        <rFont val="Arial"/>
        <family val="2"/>
      </rPr>
      <t>)</t>
    </r>
  </si>
  <si>
    <t>Call Center Anrufe</t>
  </si>
  <si>
    <t>Zeitintervall = 1 Stunde</t>
  </si>
  <si>
    <t>Berechnung für ein 24 Stunden lang besetztes Call Center</t>
  </si>
  <si>
    <t>Stunde 1</t>
  </si>
  <si>
    <t>Stunde 2</t>
  </si>
  <si>
    <t>Stunde 3</t>
  </si>
  <si>
    <t>Stunde 4</t>
  </si>
  <si>
    <t>Stunde 5</t>
  </si>
  <si>
    <t>Stunde 6</t>
  </si>
  <si>
    <t>Stunde 7</t>
  </si>
  <si>
    <t>Stunde 8</t>
  </si>
  <si>
    <t>Stunde 9</t>
  </si>
  <si>
    <t>Stunde 10</t>
  </si>
  <si>
    <t>Stunde 11</t>
  </si>
  <si>
    <t>Stunde 12</t>
  </si>
  <si>
    <t>Stunde 13</t>
  </si>
  <si>
    <t>Stunde 14</t>
  </si>
  <si>
    <t>Stunde 15</t>
  </si>
  <si>
    <t>Stunde 16</t>
  </si>
  <si>
    <t>Stunde 17</t>
  </si>
  <si>
    <t>Stunde 18</t>
  </si>
  <si>
    <t>Stunde 19</t>
  </si>
  <si>
    <t>Stunde 20</t>
  </si>
  <si>
    <t>Stunde 21</t>
  </si>
  <si>
    <t>Stunde 22</t>
  </si>
  <si>
    <t>Stunde 23</t>
  </si>
  <si>
    <t>Stunde 24</t>
  </si>
  <si>
    <t>Anzahl eingegangener Anrufe</t>
  </si>
  <si>
    <t>Wie hoch ist die Wahrscheinlichkeit, dass bereits nach 2 Minuten ein Anruf eingeht?</t>
  </si>
  <si>
    <t>Lambda</t>
  </si>
  <si>
    <t>Jede Stunde gehen im Schnitt 21 Anrufe ein.</t>
  </si>
  <si>
    <t>Frage:</t>
  </si>
  <si>
    <t>Argumente zur Berechnung von Exponvert</t>
  </si>
  <si>
    <t>(3 Anrufe pro Minute im Schnitt)</t>
  </si>
  <si>
    <t>(Für einen Anruf nach 2 Minuten soll die Wahrscheinlichkeit berechnet werden)</t>
  </si>
  <si>
    <t>Kumuliert</t>
  </si>
  <si>
    <t>(Wert für Verteilungsfunktion)</t>
  </si>
  <si>
    <t>Berechnung</t>
  </si>
  <si>
    <t>Das heißt, knapp alle 3 Minuten ruft ein Kunde an.</t>
  </si>
  <si>
    <t>x (Minuten)</t>
  </si>
  <si>
    <t>KONFIDENZ()</t>
  </si>
  <si>
    <r>
      <t>Alpha</t>
    </r>
    <r>
      <rPr>
        <sz val="10"/>
        <color indexed="59"/>
        <rFont val="Arial"/>
        <family val="2"/>
      </rPr>
      <t xml:space="preserve"> ist die Irrtumswahrscheinlichkeit bei der Berechnung des Konfidenzintervalls. Das Konfidenzintervall ist gleich 100*(1 - Alpha)%, was bedeutet, dass ein Wert für Alpha von 0,05 einem Konfidenzniveau von 95% entspricht.
</t>
    </r>
    <r>
      <rPr>
        <b/>
        <i/>
        <sz val="10"/>
        <color indexed="59"/>
        <rFont val="Arial"/>
        <family val="2"/>
      </rPr>
      <t>StandardAbweichung</t>
    </r>
    <r>
      <rPr>
        <sz val="10"/>
        <color indexed="59"/>
        <rFont val="Arial"/>
        <family val="2"/>
      </rPr>
      <t xml:space="preserve"> ist die als bekannt angenommene Standardabweichung der Grundgesamtheit.
</t>
    </r>
    <r>
      <rPr>
        <b/>
        <i/>
        <sz val="10"/>
        <color indexed="59"/>
        <rFont val="Arial"/>
        <family val="2"/>
      </rPr>
      <t>Umfang</t>
    </r>
    <r>
      <rPr>
        <sz val="10"/>
        <color indexed="59"/>
        <rFont val="Arial"/>
        <family val="2"/>
      </rPr>
      <t xml:space="preserve"> ist der Umfang der Stichprobe.</t>
    </r>
  </si>
  <si>
    <t>Stichprobenumfang</t>
  </si>
  <si>
    <t>Irrtumswahrscheinlichkeit Alpha</t>
  </si>
  <si>
    <t>Aufgabe</t>
  </si>
  <si>
    <t>keine</t>
  </si>
  <si>
    <t>Berechnung des 95% Konfidenzintervall für den Mittelwert der Webzugriffe und der Bestellungen.</t>
  </si>
  <si>
    <t>Zu 95% liegt der Mittelwert der Grundgesamtheit der Webseitenzugriffe</t>
  </si>
  <si>
    <t>Berechnungen/Angaben</t>
  </si>
  <si>
    <t>Webseitenzugriffe</t>
  </si>
  <si>
    <t>Intervall für Webseitenzugriff</t>
  </si>
  <si>
    <t>Untere Grenze</t>
  </si>
  <si>
    <t>Obere Grenze</t>
  </si>
  <si>
    <t>Mittelwert-KONFIDENZ</t>
  </si>
  <si>
    <t>Mittelwert+KONFIDENZ</t>
  </si>
  <si>
    <t>Intervall für Bestellungen</t>
  </si>
  <si>
    <t>1. Webseitenzugriffe:</t>
  </si>
  <si>
    <t>im Konfidenzintervall von 8504,54 bis 14111,69</t>
  </si>
  <si>
    <t>1. Online-Bestellungen:</t>
  </si>
  <si>
    <t>Zu 95% liegt der Mittelwert der Grundgesamtheit der Online-Bestellungen</t>
  </si>
  <si>
    <t>im Konfidenzintervall von 668,68 bis 1070,32</t>
  </si>
  <si>
    <t>Standardabweichung (GG)</t>
  </si>
  <si>
    <t>Mittelwert (SP)</t>
  </si>
  <si>
    <r>
      <t>Wahrsch</t>
    </r>
    <r>
      <rPr>
        <sz val="10"/>
        <color indexed="59"/>
        <rFont val="Arial"/>
        <family val="2"/>
      </rPr>
      <t xml:space="preserve"> ist die zur Lognormalverteilung gehörige Wahrscheinlichkeit.
</t>
    </r>
    <r>
      <rPr>
        <b/>
        <i/>
        <sz val="10"/>
        <color indexed="59"/>
        <rFont val="Arial"/>
        <family val="2"/>
      </rPr>
      <t>Mittelwert</t>
    </r>
    <r>
      <rPr>
        <sz val="10"/>
        <color indexed="59"/>
        <rFont val="Arial"/>
        <family val="2"/>
      </rPr>
      <t xml:space="preserve"> ist der Mittelwert der Lognormalverteilung.
</t>
    </r>
    <r>
      <rPr>
        <b/>
        <i/>
        <sz val="10"/>
        <color indexed="59"/>
        <rFont val="Arial"/>
        <family val="2"/>
      </rPr>
      <t>Standabwn</t>
    </r>
    <r>
      <rPr>
        <sz val="10"/>
        <color indexed="59"/>
        <rFont val="Arial"/>
        <family val="2"/>
      </rPr>
      <t xml:space="preserve"> ist die Standardabweichung der Lognormalverteilung.</t>
    </r>
  </si>
  <si>
    <t>Reifenschaden auf 100.000 km</t>
  </si>
  <si>
    <t>Testfahrzeug 1</t>
  </si>
  <si>
    <t>Testfahrzeug 2</t>
  </si>
  <si>
    <t>Testfahrzeug 3</t>
  </si>
  <si>
    <t>Testfahrzeug 4</t>
  </si>
  <si>
    <t>Testfahrzeug 5</t>
  </si>
  <si>
    <t>Testfahrzeug 6</t>
  </si>
  <si>
    <t>Testfahrzeug 7</t>
  </si>
  <si>
    <t>Testfahrzeug 8</t>
  </si>
  <si>
    <t>Testfahrzeug 9</t>
  </si>
  <si>
    <t>Testfahrzeug 10</t>
  </si>
  <si>
    <t>Testfahrzeug 11</t>
  </si>
  <si>
    <t>Testfahrzeug 12</t>
  </si>
  <si>
    <t>Testfahrzeug 13</t>
  </si>
  <si>
    <t>Testfahrzeug 14</t>
  </si>
  <si>
    <t>Testfahrzeug 15</t>
  </si>
  <si>
    <t>Es treten durchschnittlich 4 Reifenschäden auf 100.000 km auf.</t>
  </si>
  <si>
    <t>Berechnung:</t>
  </si>
  <si>
    <t>x = Zahl der "gewünschten" Ereignisse</t>
  </si>
  <si>
    <t>Mittelwert = Zahl der erwarteten Ereignisse</t>
  </si>
  <si>
    <t xml:space="preserve">Kumuliert </t>
  </si>
  <si>
    <r>
      <t>STANDARDISIERUNG(</t>
    </r>
    <r>
      <rPr>
        <b/>
        <i/>
        <sz val="12"/>
        <color indexed="59"/>
        <rFont val="Arial"/>
        <family val="2"/>
      </rPr>
      <t>x;Mittelwert;Standabwn</t>
    </r>
    <r>
      <rPr>
        <b/>
        <sz val="12"/>
        <color indexed="59"/>
        <rFont val="Arial"/>
        <family val="2"/>
      </rPr>
      <t>)</t>
    </r>
  </si>
  <si>
    <t>STANDARDISIERUNG()</t>
  </si>
  <si>
    <r>
      <t>x</t>
    </r>
    <r>
      <rPr>
        <sz val="10"/>
        <color indexed="59"/>
        <rFont val="Arial"/>
        <family val="2"/>
      </rPr>
      <t xml:space="preserve"> ist der Wert, den Sie standardisieren möchten.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Standabwn</t>
    </r>
    <r>
      <rPr>
        <sz val="10"/>
        <color indexed="59"/>
        <rFont val="Arial"/>
        <family val="2"/>
      </rPr>
      <t xml:space="preserve"> ist die Standardabweichung der Verteilung.</t>
    </r>
  </si>
  <si>
    <t>STANDARDIZE()</t>
  </si>
  <si>
    <t>Standardisierung
z-Werte</t>
  </si>
  <si>
    <t>Gemessene Brennleistung 
in Stunden (=X)</t>
  </si>
  <si>
    <t>Testglühbirnen</t>
  </si>
  <si>
    <t>=STANDARDISIERUNG(C11;$F$15;$G$15)</t>
  </si>
  <si>
    <t>Standardisierung
=z-Werte</t>
  </si>
  <si>
    <t>Wahrscheinlichkeiten der Verteilung</t>
  </si>
  <si>
    <r>
      <t>Wahrsch</t>
    </r>
    <r>
      <rPr>
        <sz val="10"/>
        <color indexed="59"/>
        <rFont val="Arial"/>
        <family val="2"/>
      </rPr>
      <t xml:space="preserve"> ist die zur Standardnormalverteilung gehörige Wahrscheinlichkeit.</t>
    </r>
  </si>
  <si>
    <t>z-Werte</t>
  </si>
  <si>
    <t>STFEHLERYX()</t>
  </si>
  <si>
    <r>
      <t>Y_Werte</t>
    </r>
    <r>
      <rPr>
        <sz val="10"/>
        <color indexed="59"/>
        <rFont val="Arial"/>
        <family val="2"/>
      </rPr>
      <t xml:space="preserve"> ist eine Matrix oder ein Bereich abhängiger Datenpunkte.
</t>
    </r>
    <r>
      <rPr>
        <b/>
        <i/>
        <sz val="10"/>
        <color indexed="59"/>
        <rFont val="Arial"/>
        <family val="2"/>
      </rPr>
      <t>X_Werte</t>
    </r>
    <r>
      <rPr>
        <sz val="10"/>
        <color indexed="59"/>
        <rFont val="Arial"/>
        <family val="2"/>
      </rPr>
      <t xml:space="preserve"> ist eine Matrix oder ein Bereich unabhängiger Datenpunkte.</t>
    </r>
  </si>
  <si>
    <t>STEYX()</t>
  </si>
  <si>
    <t>Standardfehler</t>
  </si>
  <si>
    <t>=STFEHLERYX(D9:D38;C9:C38)</t>
  </si>
  <si>
    <t xml:space="preserve">Das Ergebnis von 210,07 sagt aus, dass der errechnete Stichprobenmittelwert </t>
  </si>
  <si>
    <t xml:space="preserve">Wie hoch ist der Standardfehler der geschätzten Online-Bestellungen </t>
  </si>
  <si>
    <t>für alle Webzugriffe?</t>
  </si>
  <si>
    <t xml:space="preserve">der geschätzten Online-Bestellungen für alle Webzugriffen um 210 Bestellungen </t>
  </si>
  <si>
    <t xml:space="preserve">um den wahren Mittelwert,also dem Mittelwert aus der Grundgesamtheit der </t>
  </si>
  <si>
    <t>Online-Bestellungen, streut.</t>
  </si>
  <si>
    <r>
      <t>STFEHLERYX(</t>
    </r>
    <r>
      <rPr>
        <b/>
        <i/>
        <sz val="12"/>
        <color indexed="59"/>
        <rFont val="Arial"/>
        <family val="2"/>
      </rPr>
      <t>Y_Werte;X_Werte</t>
    </r>
    <r>
      <rPr>
        <b/>
        <sz val="12"/>
        <color indexed="59"/>
        <rFont val="Arial"/>
        <family val="2"/>
      </rPr>
      <t>)</t>
    </r>
  </si>
  <si>
    <r>
      <t>x</t>
    </r>
    <r>
      <rPr>
        <sz val="10"/>
        <color indexed="59"/>
        <rFont val="Arial"/>
        <family val="2"/>
      </rPr>
      <t xml:space="preserve"> ist der Wert, für den die Funktion ausgewertet werden soll.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t>
    </r>
    <r>
      <rPr>
        <b/>
        <i/>
        <sz val="10"/>
        <color indexed="59"/>
        <rFont val="Arial"/>
        <family val="2"/>
      </rPr>
      <t>Kumuliert</t>
    </r>
    <r>
      <rPr>
        <sz val="10"/>
        <color indexed="59"/>
        <rFont val="Arial"/>
        <family val="2"/>
      </rPr>
      <t xml:space="preserve"> ist der Wahrheitswert, der den Typ der Funktion bestimmt. Ist Kumuliert mit WAHR belegt, gibt WEIBULL den Wert der Verteilungsfunktion zurück, also die Wahrscheinlichkeit, dass die Anzahl zufällig auftretender Ereignisse zwischen 0 und einschließlich x liegt. Ist Kumuliert mit FALSCH belegt, gibt WEIBULL den Wert der Dichtefunktion zurück.</t>
    </r>
  </si>
  <si>
    <t>VARIATIONEN()</t>
  </si>
  <si>
    <r>
      <t>VARIATIONEN(</t>
    </r>
    <r>
      <rPr>
        <b/>
        <i/>
        <sz val="12"/>
        <color indexed="59"/>
        <rFont val="Arial"/>
        <family val="2"/>
      </rPr>
      <t>n;k</t>
    </r>
    <r>
      <rPr>
        <b/>
        <sz val="12"/>
        <color indexed="59"/>
        <rFont val="Arial"/>
        <family val="2"/>
      </rPr>
      <t>)</t>
    </r>
  </si>
  <si>
    <r>
      <t>n</t>
    </r>
    <r>
      <rPr>
        <sz val="10"/>
        <color indexed="59"/>
        <rFont val="Arial"/>
        <family val="2"/>
      </rPr>
      <t xml:space="preserve"> ist die Anzahl aller Elemente.
</t>
    </r>
    <r>
      <rPr>
        <b/>
        <i/>
        <sz val="10"/>
        <color indexed="59"/>
        <rFont val="Arial"/>
        <family val="2"/>
      </rPr>
      <t>k</t>
    </r>
    <r>
      <rPr>
        <sz val="10"/>
        <color indexed="59"/>
        <rFont val="Arial"/>
        <family val="2"/>
      </rPr>
      <t xml:space="preserve"> gibt an, aus wie vielen Elementen jede Variationsmöglichkeit bestehen soll</t>
    </r>
  </si>
  <si>
    <t>PERMUT()</t>
  </si>
  <si>
    <t>Teilnehmer</t>
  </si>
  <si>
    <t>Läufer 1</t>
  </si>
  <si>
    <t>Läufer 2</t>
  </si>
  <si>
    <t>Läufer 3</t>
  </si>
  <si>
    <t>Läufer 4</t>
  </si>
  <si>
    <t>Läufer 5</t>
  </si>
  <si>
    <t>Läufer 6</t>
  </si>
  <si>
    <t>Läufer 7</t>
  </si>
  <si>
    <t>Läufer 8</t>
  </si>
  <si>
    <t>Läufer 9</t>
  </si>
  <si>
    <t>Läufer 10</t>
  </si>
  <si>
    <t>Platz 1</t>
  </si>
  <si>
    <t>Platz 2</t>
  </si>
  <si>
    <t>Platz 3</t>
  </si>
  <si>
    <t>=ANZAHL2(B8:B17)</t>
  </si>
  <si>
    <t>Variationen</t>
  </si>
  <si>
    <t>=VARIATIONEN(B18;C18)</t>
  </si>
  <si>
    <t>Preisgeld</t>
  </si>
  <si>
    <t>Parameter</t>
  </si>
  <si>
    <t>Bedeutung</t>
  </si>
  <si>
    <t>Die zur Betaverteilung gehörende Wahrscheinlichkeit</t>
  </si>
  <si>
    <t>Parameter der Verteilung</t>
  </si>
  <si>
    <t>Wert, für den die Funktion ausgewertet werden soll</t>
  </si>
  <si>
    <t>Die zur Gammaverteilung gehörende Wahrscheinlichkeit</t>
  </si>
  <si>
    <t>Parameter Alpha für die Verteilung</t>
  </si>
  <si>
    <t>Parameter Beta für die Verteilung</t>
  </si>
  <si>
    <t>Berechnung von GAMMALN()</t>
  </si>
  <si>
    <t>Wert, für den GAMMALN berechnet werden soll</t>
  </si>
  <si>
    <t>=GAMMALN(E10)</t>
  </si>
  <si>
    <t>x= Wert (Quantil), dessen Wahrscheinlichkeit berechnen werden soll</t>
  </si>
  <si>
    <t>Kumuliert = Wahr</t>
  </si>
  <si>
    <t>Kumuliert = Falsch</t>
  </si>
  <si>
    <t>Daten</t>
  </si>
  <si>
    <t>Ergebnisse für GTEST()</t>
  </si>
  <si>
    <t>Zufallsvariable</t>
  </si>
  <si>
    <t>Angabe in Prozent</t>
  </si>
  <si>
    <t>Die zur Lognormalverteilung gehörende Wahrscheinlichkeit</t>
  </si>
  <si>
    <t>Mittel von ln(x)</t>
  </si>
  <si>
    <t>Standardabweichung von ln(x)</t>
  </si>
  <si>
    <t>Alpha-Parameter der Verteilung</t>
  </si>
  <si>
    <t>Beta-Parameter der Verteilung</t>
  </si>
  <si>
    <t>Wie hoch ist die Wahrscheinlichkeit, dass es bei der Produktion von 2000 Tabletten zu 30 fehlerhaften Verpackungen kommt, wenn Sie bei der durchschnittlichen Produktion von 2% fehlerhaften Verpackungen ausgehen?</t>
  </si>
  <si>
    <t>=SUMME(C12:D12)</t>
  </si>
  <si>
    <t>=SUMME(E11:E12)</t>
  </si>
  <si>
    <t>=SUMME(E11:E11)</t>
  </si>
  <si>
    <t>=SUMME(C16:D16)</t>
  </si>
  <si>
    <t>=SUMME(E15:E16)</t>
  </si>
  <si>
    <t>=FISHER(C41)</t>
  </si>
  <si>
    <t>=FISHER(G41)</t>
  </si>
  <si>
    <t>=FISHERINV(C51)</t>
  </si>
  <si>
    <t>=FISHER(C23)</t>
  </si>
  <si>
    <t>=FISHER(G23)</t>
  </si>
  <si>
    <t>Umfang_S</t>
  </si>
  <si>
    <t>=G10-G20</t>
  </si>
  <si>
    <t>=G10+G20</t>
  </si>
  <si>
    <t>=H10-H20</t>
  </si>
  <si>
    <t>=H10+H20</t>
  </si>
  <si>
    <r>
      <t xml:space="preserve">Wie hoch ist die Wahrscheinlichkeit, dass Sie erst eine Anzahl </t>
    </r>
    <r>
      <rPr>
        <b/>
        <i/>
        <sz val="10"/>
        <rFont val="Arial"/>
        <family val="2"/>
      </rPr>
      <t>x</t>
    </r>
    <r>
      <rPr>
        <b/>
        <sz val="10"/>
        <rFont val="Arial"/>
        <family val="2"/>
      </rPr>
      <t xml:space="preserve"> an "Nicht-Wissenden" befragen müssen, bevor Sie 5 Personen treffen, die den Weg wissen?</t>
    </r>
  </si>
  <si>
    <r>
      <t xml:space="preserve">Die Wahrscheinlichkeit, dass Sie zunächst 6 </t>
    </r>
    <r>
      <rPr>
        <b/>
        <sz val="10"/>
        <rFont val="Arial"/>
        <family val="2"/>
      </rPr>
      <t>falsche</t>
    </r>
    <r>
      <rPr>
        <sz val="10"/>
        <rFont val="Arial"/>
        <family val="2"/>
      </rPr>
      <t xml:space="preserve"> Antworten bzw. ein </t>
    </r>
    <r>
      <rPr>
        <b/>
        <sz val="10"/>
        <rFont val="Arial"/>
        <family val="2"/>
      </rPr>
      <t>Nein</t>
    </r>
    <r>
      <rPr>
        <sz val="10"/>
        <rFont val="Arial"/>
        <family val="2"/>
      </rPr>
      <t xml:space="preserve"> zu hören bekommen, bevor Sie 5 Personen treffen, die den Weg zu der von Ihnen gesuchten Sehenswürdigkeit kennen, beträgt 10,25%</t>
    </r>
  </si>
  <si>
    <t>Wie hoch ist die Wahrscheinlichkeit, dass die Glühbirne bis zu 2600 Stunden brennt?</t>
  </si>
  <si>
    <t>Wie hoch ist die Wahrscheinlichkeit, dass die Glühbirne weniger als 1400 Stunden brennt?</t>
  </si>
  <si>
    <t>Wie hoch ist die Wahrscheinlichkeit, dass genau 3 Reifenschäden auf 100.000km auftreten?</t>
  </si>
  <si>
    <t>Wie hoch ist die Wahrscheinlichkeit, dass genau 0-3 Reifenschäden auf 100.000km auftreten?</t>
  </si>
  <si>
    <t>=SUMME(B8:B17)/ANZAHL(B8:B17)</t>
  </si>
  <si>
    <t>=ANZAHL(B8:B17)</t>
  </si>
  <si>
    <t>=ANZAHL(C8:C17)</t>
  </si>
  <si>
    <t>=F11+F12-2</t>
  </si>
  <si>
    <t>=SUMME(C8:C17)/ANZAHL(C8:C17)</t>
  </si>
  <si>
    <t>=SUMME(C9:C18)/ANZAHL(C9:C18)</t>
  </si>
  <si>
    <t>=WAHRSCHBEREICH(D10:D14;E10:E14;D13)</t>
  </si>
  <si>
    <t>=WAHRSCHBEREICH(D10:D14;E10:E14;D13;D14)</t>
  </si>
  <si>
    <t>Die Wahrscheinlichkeit, dass Person 6 genau 60 kg wiegt, beträgt 25%.</t>
  </si>
  <si>
    <t>Z-Wert 1 aus 2008</t>
  </si>
  <si>
    <t>Z-Wert 1 aus 2007</t>
  </si>
  <si>
    <t>Z-Wert 1 aus 2006</t>
  </si>
  <si>
    <t>BETA.INV()</t>
  </si>
  <si>
    <r>
      <t>BETA.INV(</t>
    </r>
    <r>
      <rPr>
        <b/>
        <i/>
        <sz val="12"/>
        <color indexed="59"/>
        <rFont val="Arial"/>
        <family val="2"/>
      </rPr>
      <t>Wahrscheinlichkeit;Alpha;Beta;</t>
    </r>
    <r>
      <rPr>
        <i/>
        <sz val="12"/>
        <color indexed="59"/>
        <rFont val="Arial"/>
        <family val="2"/>
      </rPr>
      <t>A;B</t>
    </r>
    <r>
      <rPr>
        <b/>
        <sz val="12"/>
        <color indexed="59"/>
        <rFont val="Arial"/>
        <family val="2"/>
      </rPr>
      <t>)</t>
    </r>
  </si>
  <si>
    <t>Berechnung von BETA.INV()</t>
  </si>
  <si>
    <t>=BETA.INV(E9;E10;E11;E12;E13)</t>
  </si>
  <si>
    <t>BETA.VERT()</t>
  </si>
  <si>
    <t>BETA.INV</t>
  </si>
  <si>
    <t>BETA.DIST()</t>
  </si>
  <si>
    <t>Berechnung von BETA.VERT()</t>
  </si>
  <si>
    <t>BINOM.VERT()</t>
  </si>
  <si>
    <t>BINOM.DIST()</t>
  </si>
  <si>
    <r>
      <t>=BINOM.VERT(</t>
    </r>
    <r>
      <rPr>
        <b/>
        <i/>
        <sz val="12"/>
        <color indexed="59"/>
        <rFont val="Arial"/>
        <family val="2"/>
      </rPr>
      <t>AnzahlErfolge;Versuche;ErfolgsWahrscheinlichkeit;Kumuliert</t>
    </r>
    <r>
      <rPr>
        <b/>
        <sz val="12"/>
        <color indexed="59"/>
        <rFont val="Arial"/>
        <family val="2"/>
      </rPr>
      <t xml:space="preserve">)
</t>
    </r>
  </si>
  <si>
    <r>
      <t>AnzahlErfolge</t>
    </r>
    <r>
      <rPr>
        <sz val="10"/>
        <color indexed="59"/>
        <rFont val="Arial"/>
        <family val="2"/>
      </rPr>
      <t xml:space="preserve"> ist die Anzahl der Erfolge in einer Versuchsreihe.</t>
    </r>
    <r>
      <rPr>
        <b/>
        <i/>
        <sz val="10"/>
        <color indexed="59"/>
        <rFont val="Arial"/>
        <family val="2"/>
      </rPr>
      <t xml:space="preserve">
Versuche</t>
    </r>
    <r>
      <rPr>
        <sz val="10"/>
        <color indexed="59"/>
        <rFont val="Arial"/>
        <family val="2"/>
      </rPr>
      <t xml:space="preserve"> ist die Anzahl der voneinander unabhängigen Versuche.
</t>
    </r>
    <r>
      <rPr>
        <b/>
        <i/>
        <sz val="10"/>
        <color indexed="59"/>
        <rFont val="Arial"/>
        <family val="2"/>
      </rPr>
      <t>ErfolgsWahrscheinlichkeit</t>
    </r>
    <r>
      <rPr>
        <sz val="10"/>
        <color indexed="59"/>
        <rFont val="Arial"/>
        <family val="2"/>
      </rPr>
      <t xml:space="preserve"> ist die Wahrscheinlichkeit eines Erfolgs für jeden Versuch.
</t>
    </r>
    <r>
      <rPr>
        <b/>
        <i/>
        <sz val="10"/>
        <color indexed="59"/>
        <rFont val="Arial"/>
        <family val="2"/>
      </rPr>
      <t>Kumuliert</t>
    </r>
    <r>
      <rPr>
        <sz val="10"/>
        <color indexed="59"/>
        <rFont val="Arial"/>
        <family val="2"/>
      </rPr>
      <t xml:space="preserve"> ist ein Wahrheitswert, der den Typ der Funktion bestimmt. Ist </t>
    </r>
    <r>
      <rPr>
        <b/>
        <i/>
        <sz val="10"/>
        <color indexed="59"/>
        <rFont val="Arial"/>
        <family val="2"/>
      </rPr>
      <t>Kumuliert</t>
    </r>
    <r>
      <rPr>
        <sz val="10"/>
        <color indexed="59"/>
        <rFont val="Arial"/>
        <family val="2"/>
      </rPr>
      <t xml:space="preserve"> WAHR, dann gibt BINOMVERT() die Verteilungsfunktion zurück, also die Wahrscheinlichkeit dafür, dass es höchstens </t>
    </r>
    <r>
      <rPr>
        <b/>
        <i/>
        <sz val="10"/>
        <color indexed="59"/>
        <rFont val="Arial"/>
        <family val="2"/>
      </rPr>
      <t>AnzahlErfolge</t>
    </r>
    <r>
      <rPr>
        <sz val="10"/>
        <color indexed="59"/>
        <rFont val="Arial"/>
        <family val="2"/>
      </rPr>
      <t xml:space="preserve"> von Erfolgen gibt. 
Ist </t>
    </r>
    <r>
      <rPr>
        <b/>
        <i/>
        <sz val="10"/>
        <color indexed="59"/>
        <rFont val="Arial"/>
        <family val="2"/>
      </rPr>
      <t>Kumuliert</t>
    </r>
    <r>
      <rPr>
        <sz val="10"/>
        <color indexed="59"/>
        <rFont val="Arial"/>
        <family val="2"/>
      </rPr>
      <t xml:space="preserve"> FALSCH, gibt BINOM.VERT() die Wahrscheinlichkeitsfunktion zurück, also die Wahrscheinlichkeit, dass es genau </t>
    </r>
    <r>
      <rPr>
        <b/>
        <i/>
        <sz val="10"/>
        <color indexed="59"/>
        <rFont val="Arial"/>
        <family val="2"/>
      </rPr>
      <t>AnzahlErfolge</t>
    </r>
    <r>
      <rPr>
        <sz val="10"/>
        <color indexed="59"/>
        <rFont val="Arial"/>
        <family val="2"/>
      </rPr>
      <t xml:space="preserve"> an Erfolgen gibt.</t>
    </r>
  </si>
  <si>
    <t>=BINOM.VERT(C11;C12;C13;C14)</t>
  </si>
  <si>
    <t>=BINOM.VERT(C11;C12;C13;C15)</t>
  </si>
  <si>
    <t>=BINOM.VERT(C25;C26;C27;C28)</t>
  </si>
  <si>
    <t>=BINOM.VERT(C25;C26;C27;C29)</t>
  </si>
  <si>
    <t>CHIQU.INV.RE()</t>
  </si>
  <si>
    <t>CHISQ.INV.RT()</t>
  </si>
  <si>
    <t>CHIQU.INV.RE(Wahrscheinlichkeit;FreiheitsGrade)</t>
  </si>
  <si>
    <t>=CHIQU.INV.RE(D22;D23)</t>
  </si>
  <si>
    <t>CHIQU.TEST()</t>
  </si>
  <si>
    <t>CHISQ.TEST()</t>
  </si>
  <si>
    <r>
      <t>=CHIQU.TEST(</t>
    </r>
    <r>
      <rPr>
        <b/>
        <i/>
        <sz val="12"/>
        <color indexed="59"/>
        <rFont val="Arial"/>
        <family val="2"/>
      </rPr>
      <t>BeobachteteWerte;ErwarteteWerte</t>
    </r>
    <r>
      <rPr>
        <b/>
        <sz val="12"/>
        <color indexed="59"/>
        <rFont val="Arial"/>
        <family val="2"/>
      </rPr>
      <t xml:space="preserve">)
</t>
    </r>
  </si>
  <si>
    <t>=CHIQU.TEST(C11:C12;C15:C16)</t>
  </si>
  <si>
    <t>CHIQU.TEST</t>
  </si>
  <si>
    <t>CHIQU.VERT.RE()</t>
  </si>
  <si>
    <t>CHISQ.DIST.RT()</t>
  </si>
  <si>
    <r>
      <t>CHIQU.VERT.RE(</t>
    </r>
    <r>
      <rPr>
        <b/>
        <i/>
        <sz val="12"/>
        <color indexed="59"/>
        <rFont val="Arial"/>
        <family val="2"/>
      </rPr>
      <t>Wahrscheinlichkeit</t>
    </r>
    <r>
      <rPr>
        <b/>
        <sz val="12"/>
        <color indexed="59"/>
        <rFont val="Arial"/>
        <family val="2"/>
      </rPr>
      <t>;</t>
    </r>
    <r>
      <rPr>
        <b/>
        <i/>
        <sz val="12"/>
        <color indexed="59"/>
        <rFont val="Arial"/>
        <family val="2"/>
      </rPr>
      <t>FreiheitsGrade</t>
    </r>
    <r>
      <rPr>
        <b/>
        <sz val="12"/>
        <color indexed="59"/>
        <rFont val="Arial"/>
        <family val="2"/>
      </rPr>
      <t>)</t>
    </r>
  </si>
  <si>
    <t>=CHIQU.INV.RE(D21;D22)</t>
  </si>
  <si>
    <t>=CHIQU.VERT.RE(D29;D22)</t>
  </si>
  <si>
    <t>CHIQU.VERT.RE</t>
  </si>
  <si>
    <t>EXPON.VERT()</t>
  </si>
  <si>
    <t>EXPON.DIST()</t>
  </si>
  <si>
    <r>
      <t>EXPON.VERT(</t>
    </r>
    <r>
      <rPr>
        <b/>
        <i/>
        <sz val="12"/>
        <color indexed="59"/>
        <rFont val="Arial"/>
        <family val="2"/>
      </rPr>
      <t>x;Lambda;Kumuliert</t>
    </r>
    <r>
      <rPr>
        <b/>
        <sz val="12"/>
        <color indexed="59"/>
        <rFont val="Arial"/>
        <family val="2"/>
      </rPr>
      <t>)</t>
    </r>
  </si>
  <si>
    <r>
      <t>x</t>
    </r>
    <r>
      <rPr>
        <sz val="10"/>
        <color indexed="59"/>
        <rFont val="Arial"/>
        <family val="2"/>
      </rPr>
      <t xml:space="preserve"> ist der Wert für die Funktion.
</t>
    </r>
    <r>
      <rPr>
        <b/>
        <i/>
        <sz val="10"/>
        <color indexed="59"/>
        <rFont val="Arial"/>
        <family val="2"/>
      </rPr>
      <t>Lambda</t>
    </r>
    <r>
      <rPr>
        <sz val="10"/>
        <color indexed="59"/>
        <rFont val="Arial"/>
        <family val="2"/>
      </rPr>
      <t xml:space="preserve"> ist der übergebene Wert.
</t>
    </r>
    <r>
      <rPr>
        <b/>
        <i/>
        <sz val="10"/>
        <color indexed="59"/>
        <rFont val="Arial"/>
        <family val="2"/>
      </rPr>
      <t>Kumuliert</t>
    </r>
    <r>
      <rPr>
        <sz val="10"/>
        <color indexed="59"/>
        <rFont val="Arial"/>
        <family val="2"/>
      </rPr>
      <t xml:space="preserve"> ist ein Wahrheitswert, der den Typ der Funktion bestimmt. Ist Kumuliert mit WAHR belegt, gibt EXPON.VERT() den Wert der Verteilungsfunktion zurück. Ist Kumuliert mit FALSCH belegt, gibt EXPON.VERT() den Wert der Dichtefunktion zurück.</t>
    </r>
  </si>
  <si>
    <t>=EXPON.VERT(F22;F23;F24)</t>
  </si>
  <si>
    <t>F.INV.RE()</t>
  </si>
  <si>
    <t>F.DIST.RT()</t>
  </si>
  <si>
    <r>
      <t>F.INV.RE(</t>
    </r>
    <r>
      <rPr>
        <b/>
        <i/>
        <sz val="12"/>
        <color indexed="59"/>
        <rFont val="Arial"/>
        <family val="2"/>
      </rPr>
      <t>Wahrsch;Freiheitsgrade1;Freiheitsgrade2</t>
    </r>
    <r>
      <rPr>
        <b/>
        <sz val="12"/>
        <color indexed="59"/>
        <rFont val="Arial"/>
        <family val="2"/>
      </rPr>
      <t>)</t>
    </r>
  </si>
  <si>
    <t>=F.INV.RE(0,05;D24;D25)</t>
  </si>
  <si>
    <t>laut Bsp unter F.INV.RE()</t>
  </si>
  <si>
    <t>F.INV()</t>
  </si>
  <si>
    <t>F.DIST()</t>
  </si>
  <si>
    <r>
      <t>F.INV(</t>
    </r>
    <r>
      <rPr>
        <b/>
        <i/>
        <sz val="12"/>
        <color indexed="59"/>
        <rFont val="Arial"/>
        <family val="2"/>
      </rPr>
      <t>Wahrsch;Freiheitsgrade1;Freiheitsgrade2</t>
    </r>
    <r>
      <rPr>
        <b/>
        <sz val="12"/>
        <color indexed="59"/>
        <rFont val="Arial"/>
        <family val="2"/>
      </rPr>
      <t>)</t>
    </r>
  </si>
  <si>
    <t>CHIQU.VERT()</t>
  </si>
  <si>
    <t>CHISQ.DIST()</t>
  </si>
  <si>
    <r>
      <t>CHIQU.VERT(</t>
    </r>
    <r>
      <rPr>
        <b/>
        <i/>
        <sz val="12"/>
        <color indexed="59"/>
        <rFont val="Arial"/>
        <family val="2"/>
      </rPr>
      <t>Wahrscheinlichkeit</t>
    </r>
    <r>
      <rPr>
        <b/>
        <sz val="12"/>
        <color indexed="59"/>
        <rFont val="Arial"/>
        <family val="2"/>
      </rPr>
      <t>;</t>
    </r>
    <r>
      <rPr>
        <b/>
        <i/>
        <sz val="12"/>
        <color indexed="59"/>
        <rFont val="Arial"/>
        <family val="2"/>
      </rPr>
      <t>FreiheitsGrade</t>
    </r>
    <r>
      <rPr>
        <b/>
        <sz val="12"/>
        <color indexed="59"/>
        <rFont val="Arial"/>
        <family val="2"/>
      </rPr>
      <t>)</t>
    </r>
  </si>
  <si>
    <t>CHIQU.INV()</t>
  </si>
  <si>
    <t>CHISQ.INV()</t>
  </si>
  <si>
    <t>CHIQU.INV(Wahrscheinlichkeit;FreiheitsGrade)</t>
  </si>
  <si>
    <t>F.TEST()</t>
  </si>
  <si>
    <r>
      <t>F.TEST(</t>
    </r>
    <r>
      <rPr>
        <b/>
        <i/>
        <sz val="12"/>
        <color indexed="59"/>
        <rFont val="Arial"/>
        <family val="2"/>
      </rPr>
      <t>Matrix1;Matrix2</t>
    </r>
    <r>
      <rPr>
        <b/>
        <sz val="12"/>
        <color indexed="59"/>
        <rFont val="Arial"/>
        <family val="2"/>
      </rPr>
      <t>)</t>
    </r>
  </si>
  <si>
    <t>Ergebnis für F.TEST</t>
  </si>
  <si>
    <t>=F.TEST(B10:B19;C10:C19)</t>
  </si>
  <si>
    <t>Die Funktion F.TEST liefert eine 89%-ige Wahrscheinlichkeit dafür, dass zwischen den beiden Varianzen der Stichproben kein Unterschied besteht.</t>
  </si>
  <si>
    <t>=VAR.S(B10:B19)</t>
  </si>
  <si>
    <t>=VAR.S(C10:C19)</t>
  </si>
  <si>
    <t>Die Wahrscheinlichkeit für den Wert v, berechnet über CHIQU.VERT, beträgt 1,01% und ist somit kleiner als das 
Signifikanzniveau von 2,5%.</t>
  </si>
  <si>
    <t>F.VERT.RE()</t>
  </si>
  <si>
    <r>
      <t>F.VERT.RE(</t>
    </r>
    <r>
      <rPr>
        <b/>
        <i/>
        <sz val="12"/>
        <color indexed="59"/>
        <rFont val="Arial"/>
        <family val="2"/>
      </rPr>
      <t>x;Freiheitsgrade1;Freiheitsgrade2</t>
    </r>
    <r>
      <rPr>
        <b/>
        <sz val="12"/>
        <color indexed="59"/>
        <rFont val="Arial"/>
        <family val="2"/>
      </rPr>
      <t>)</t>
    </r>
  </si>
  <si>
    <t>=F.INV.RE(0,05;D25;D26)</t>
  </si>
  <si>
    <t>=F.VERT.RE(H11;H9;H10)</t>
  </si>
  <si>
    <t>=F.VERT.RE(H12;H9;H10)</t>
  </si>
  <si>
    <t>F.VERT()</t>
  </si>
  <si>
    <r>
      <t>F.VERT(</t>
    </r>
    <r>
      <rPr>
        <b/>
        <i/>
        <sz val="12"/>
        <color indexed="59"/>
        <rFont val="Arial"/>
        <family val="2"/>
      </rPr>
      <t>x;Freiheitsgrade1;Freiheitsgrade2;kumuliert)</t>
    </r>
  </si>
  <si>
    <r>
      <t>x</t>
    </r>
    <r>
      <rPr>
        <sz val="10"/>
        <color indexed="59"/>
        <rFont val="Arial"/>
        <family val="2"/>
      </rPr>
      <t xml:space="preserve"> ist der Wert, für den die Funktion ausgewertet werden soll.
</t>
    </r>
    <r>
      <rPr>
        <b/>
        <i/>
        <sz val="10"/>
        <color indexed="59"/>
        <rFont val="Arial"/>
        <family val="2"/>
      </rPr>
      <t>Freiheitsgrade1</t>
    </r>
    <r>
      <rPr>
        <sz val="10"/>
        <color indexed="59"/>
        <rFont val="Arial"/>
        <family val="2"/>
      </rPr>
      <t xml:space="preserve"> ist die Anzahl der Freiheitsgrade im Zähler.
</t>
    </r>
    <r>
      <rPr>
        <b/>
        <i/>
        <sz val="10"/>
        <color indexed="59"/>
        <rFont val="Arial"/>
        <family val="2"/>
      </rPr>
      <t>Freiheitsgrade2</t>
    </r>
    <r>
      <rPr>
        <sz val="10"/>
        <color indexed="59"/>
        <rFont val="Arial"/>
        <family val="2"/>
      </rPr>
      <t xml:space="preserve"> ist die Anzahl der Freiheitsgrade im Nenner.
</t>
    </r>
    <r>
      <rPr>
        <b/>
        <i/>
        <sz val="10"/>
        <color indexed="59"/>
        <rFont val="Arial"/>
        <family val="2"/>
      </rPr>
      <t>Kumuliert</t>
    </r>
    <r>
      <rPr>
        <sz val="10"/>
        <color indexed="59"/>
        <rFont val="Arial"/>
        <family val="2"/>
      </rPr>
      <t xml:space="preserve"> gibt den Wahrheitswert zurück, der den Typ der Funktion bestimmt. Ist </t>
    </r>
    <r>
      <rPr>
        <b/>
        <i/>
        <sz val="10"/>
        <color indexed="59"/>
        <rFont val="Arial"/>
        <family val="2"/>
      </rPr>
      <t>Kumuliert</t>
    </r>
    <r>
      <rPr>
        <sz val="10"/>
        <color indexed="59"/>
        <rFont val="Arial"/>
        <family val="2"/>
      </rPr>
      <t xml:space="preserve"> mit WAHR belegt, gibt F.VERT den Wert der Verteilungsfunktion zurück. Ist </t>
    </r>
    <r>
      <rPr>
        <b/>
        <i/>
        <sz val="10"/>
        <color indexed="59"/>
        <rFont val="Arial"/>
        <family val="2"/>
      </rPr>
      <t>Kumuliert</t>
    </r>
    <r>
      <rPr>
        <sz val="10"/>
        <color indexed="59"/>
        <rFont val="Arial"/>
        <family val="2"/>
      </rPr>
      <t xml:space="preserve"> mit FALSCH belegt, gibt F.VERT den Wert der Dichtefunktion zurück.</t>
    </r>
  </si>
  <si>
    <t>=GAMMA.INV(E9;E10;E11)</t>
  </si>
  <si>
    <t>GAMMA.INV()</t>
  </si>
  <si>
    <r>
      <t>GAMMA.INV(</t>
    </r>
    <r>
      <rPr>
        <b/>
        <i/>
        <sz val="12"/>
        <color indexed="59"/>
        <rFont val="Arial"/>
        <family val="2"/>
      </rPr>
      <t>Wahrsch;Alpha;Beta</t>
    </r>
    <r>
      <rPr>
        <b/>
        <sz val="12"/>
        <color indexed="59"/>
        <rFont val="Arial"/>
        <family val="2"/>
      </rPr>
      <t>)</t>
    </r>
  </si>
  <si>
    <r>
      <t>Wahrsch</t>
    </r>
    <r>
      <rPr>
        <sz val="10"/>
        <color indexed="59"/>
        <rFont val="Arial"/>
        <family val="2"/>
      </rPr>
      <t xml:space="preserve"> ist die zur Gammaverteilung gehörige Wahrscheinlichkeit.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Wenn Beta = 1, gibt GAMMA.INV die Standard-Gammaverteilung zurück.</t>
    </r>
  </si>
  <si>
    <t>Berechnung von GAMMA.INV()</t>
  </si>
  <si>
    <t>GAMMA.INV berechnet die Stelle x auf der horizontalen Achse, die dem kumulierten Flächenanteil der Gammaverteilung entspricht.</t>
  </si>
  <si>
    <t>GAMMA.INV</t>
  </si>
  <si>
    <t>GAMMA.VERT()</t>
  </si>
  <si>
    <t>GAMMA.DIST()</t>
  </si>
  <si>
    <r>
      <t>GAMMA.VERT(</t>
    </r>
    <r>
      <rPr>
        <b/>
        <i/>
        <sz val="12"/>
        <color indexed="59"/>
        <rFont val="Arial"/>
        <family val="2"/>
      </rPr>
      <t>x;Alpha;Beta;Kumuliert</t>
    </r>
    <r>
      <rPr>
        <b/>
        <sz val="12"/>
        <color indexed="59"/>
        <rFont val="Arial"/>
        <family val="2"/>
      </rPr>
      <t>)</t>
    </r>
  </si>
  <si>
    <r>
      <t>x</t>
    </r>
    <r>
      <rPr>
        <sz val="10"/>
        <color indexed="59"/>
        <rFont val="Arial"/>
        <family val="2"/>
      </rPr>
      <t xml:space="preserve"> ist der Wert (Quantil), dessen Wahrscheinlichkeit (1-Alpha) Sie berechnen wollen.
</t>
    </r>
    <r>
      <rPr>
        <b/>
        <i/>
        <sz val="10"/>
        <color indexed="59"/>
        <rFont val="Arial"/>
        <family val="2"/>
      </rPr>
      <t>Alpha</t>
    </r>
    <r>
      <rPr>
        <sz val="10"/>
        <color indexed="59"/>
        <rFont val="Arial"/>
        <family val="2"/>
      </rPr>
      <t xml:space="preserve"> ist ein Parameter der Verteilung.
</t>
    </r>
    <r>
      <rPr>
        <b/>
        <i/>
        <sz val="10"/>
        <color indexed="59"/>
        <rFont val="Arial"/>
        <family val="2"/>
      </rPr>
      <t>Beta</t>
    </r>
    <r>
      <rPr>
        <sz val="10"/>
        <color indexed="59"/>
        <rFont val="Arial"/>
        <family val="2"/>
      </rPr>
      <t xml:space="preserve"> ist ein Parameter der Verteilung. Wenn Beta = 1, gibt GAMMA.VERT die Standard-Gammaverteilung zurück.
</t>
    </r>
    <r>
      <rPr>
        <b/>
        <i/>
        <sz val="10"/>
        <color indexed="59"/>
        <rFont val="Arial"/>
        <family val="2"/>
      </rPr>
      <t>Kumuliert</t>
    </r>
    <r>
      <rPr>
        <sz val="10"/>
        <color indexed="59"/>
        <rFont val="Arial"/>
        <family val="2"/>
      </rPr>
      <t xml:space="preserve"> ist der Wahrheitswert, der den Typ der Funktion bestimmt.</t>
    </r>
  </si>
  <si>
    <t>Berechnung von GAMMA.VERT()</t>
  </si>
  <si>
    <t>=GAMMA.VERT(E9;E10;E11;E12)</t>
  </si>
  <si>
    <t>=GAMMA.VERT(E9;E10;E11;E13)</t>
  </si>
  <si>
    <t>GAMMA.VERT() (für kumuliert = WAHR)</t>
  </si>
  <si>
    <t>GAMMA.VERT() (für kumuliert = FALSCH)</t>
  </si>
  <si>
    <t>G.TEST()</t>
  </si>
  <si>
    <t>Z.TEST()</t>
  </si>
  <si>
    <r>
      <t>G.TEST(</t>
    </r>
    <r>
      <rPr>
        <b/>
        <i/>
        <sz val="12"/>
        <color indexed="59"/>
        <rFont val="Arial"/>
        <family val="2"/>
      </rPr>
      <t>Array;µ0</t>
    </r>
    <r>
      <rPr>
        <i/>
        <sz val="12"/>
        <color indexed="59"/>
        <rFont val="Arial"/>
        <family val="2"/>
      </rPr>
      <t>;Sigma</t>
    </r>
    <r>
      <rPr>
        <b/>
        <sz val="12"/>
        <color indexed="59"/>
        <rFont val="Arial"/>
        <family val="2"/>
      </rPr>
      <t>)</t>
    </r>
  </si>
  <si>
    <t>=G.TEST(B9:B18;C9)</t>
  </si>
  <si>
    <t>=G.TEST(B9:B18;C11)</t>
  </si>
  <si>
    <t>HYPGEOM.VERT()</t>
  </si>
  <si>
    <r>
      <t>HYPGEOM.VERT(</t>
    </r>
    <r>
      <rPr>
        <b/>
        <i/>
        <sz val="12"/>
        <color indexed="59"/>
        <rFont val="Arial"/>
        <family val="2"/>
      </rPr>
      <t>Erfolge_S;Umfang_S;Erfolge_G;Umfang_G</t>
    </r>
    <r>
      <rPr>
        <b/>
        <sz val="12"/>
        <color indexed="59"/>
        <rFont val="Arial"/>
        <family val="2"/>
      </rPr>
      <t>)</t>
    </r>
  </si>
  <si>
    <t>KONFIDENZ.NORM()</t>
  </si>
  <si>
    <t>CONFIDENCE.NORM()</t>
  </si>
  <si>
    <r>
      <t>KONFIDENZ.NORM(</t>
    </r>
    <r>
      <rPr>
        <b/>
        <i/>
        <sz val="12"/>
        <color indexed="59"/>
        <rFont val="Arial"/>
        <family val="2"/>
      </rPr>
      <t>Alpha;StandardAbweichung;Umfang</t>
    </r>
    <r>
      <rPr>
        <b/>
        <sz val="12"/>
        <color indexed="59"/>
        <rFont val="Arial"/>
        <family val="2"/>
      </rPr>
      <t>)</t>
    </r>
  </si>
  <si>
    <t>CONFIDENCE.T()</t>
  </si>
  <si>
    <t>KONFIDENZ.T()</t>
  </si>
  <si>
    <r>
      <t>KONFIDENZ.T(</t>
    </r>
    <r>
      <rPr>
        <b/>
        <i/>
        <sz val="12"/>
        <color indexed="59"/>
        <rFont val="Arial"/>
        <family val="2"/>
      </rPr>
      <t>Alpha;StandardAbweichung;Umfang</t>
    </r>
    <r>
      <rPr>
        <b/>
        <sz val="12"/>
        <color indexed="59"/>
        <rFont val="Arial"/>
        <family val="2"/>
      </rPr>
      <t>)</t>
    </r>
  </si>
  <si>
    <t>=BINOM.INV(D10;D11;D12)</t>
  </si>
  <si>
    <t>BINOM.INV()</t>
  </si>
  <si>
    <r>
      <t>BINOM.INV(</t>
    </r>
    <r>
      <rPr>
        <b/>
        <i/>
        <sz val="12"/>
        <color indexed="59"/>
        <rFont val="Arial"/>
        <family val="2"/>
      </rPr>
      <t>Versuche;ErfolgsWahrscheinlichkeit;Alpha</t>
    </r>
    <r>
      <rPr>
        <b/>
        <sz val="12"/>
        <color indexed="59"/>
        <rFont val="Arial"/>
        <family val="2"/>
      </rPr>
      <t>)</t>
    </r>
  </si>
  <si>
    <t>BINOM.INV</t>
  </si>
  <si>
    <t>Das heißt, BINOM.INV() hat die zu einer gegebenen Grenzwahrscheinlichkeit Alpha die maximale Anzahl Merkmalsträger innerhalb der Stichprobe ermittelt.</t>
  </si>
  <si>
    <t>LOGNORM.INV()</t>
  </si>
  <si>
    <r>
      <t>LOGNORM.INV(</t>
    </r>
    <r>
      <rPr>
        <b/>
        <i/>
        <sz val="12"/>
        <color indexed="59"/>
        <rFont val="Arial"/>
        <family val="2"/>
      </rPr>
      <t>Wahrsch;Mittelwert;Standabwn</t>
    </r>
    <r>
      <rPr>
        <b/>
        <sz val="12"/>
        <color indexed="59"/>
        <rFont val="Arial"/>
        <family val="2"/>
      </rPr>
      <t>)</t>
    </r>
  </si>
  <si>
    <t>=LOGNORM.INV(E10;E11;E12)</t>
  </si>
  <si>
    <t>Berechnung von LOGNORM.INV()</t>
  </si>
  <si>
    <t>LOGNORM.VERT()</t>
  </si>
  <si>
    <t>LOGNORM.DIST()</t>
  </si>
  <si>
    <r>
      <t>LOGNORM.VERT(</t>
    </r>
    <r>
      <rPr>
        <b/>
        <i/>
        <sz val="12"/>
        <color indexed="59"/>
        <rFont val="Arial"/>
        <family val="2"/>
      </rPr>
      <t>x;Mittelwert;Standabwn</t>
    </r>
    <r>
      <rPr>
        <b/>
        <sz val="12"/>
        <color indexed="59"/>
        <rFont val="Arial"/>
        <family val="2"/>
      </rPr>
      <t>)</t>
    </r>
  </si>
  <si>
    <t>Berechnung von LOGNORM.VERT()</t>
  </si>
  <si>
    <t>NEGBINOM.VERT()</t>
  </si>
  <si>
    <t>NEGBINOM.DIST()</t>
  </si>
  <si>
    <r>
      <t>NEGBINOM.VERT(</t>
    </r>
    <r>
      <rPr>
        <b/>
        <i/>
        <sz val="12"/>
        <color indexed="59"/>
        <rFont val="Arial"/>
        <family val="2"/>
      </rPr>
      <t>Zahl_Misserfolge;Zahl_Erfolge;Erfolgswahrsch</t>
    </r>
    <r>
      <rPr>
        <b/>
        <sz val="12"/>
        <color indexed="59"/>
        <rFont val="Arial"/>
        <family val="2"/>
      </rPr>
      <t>)</t>
    </r>
  </si>
  <si>
    <t>=NEGBINOM.VERT(F11;F12;F13)</t>
  </si>
  <si>
    <t>NORM.INV()</t>
  </si>
  <si>
    <r>
      <t>=NORM.INV(</t>
    </r>
    <r>
      <rPr>
        <b/>
        <i/>
        <sz val="12"/>
        <color indexed="59"/>
        <rFont val="Arial"/>
        <family val="2"/>
      </rPr>
      <t>Wahrsch;Mittelwert;Stabwn</t>
    </r>
    <r>
      <rPr>
        <b/>
        <sz val="12"/>
        <color indexed="59"/>
        <rFont val="Arial"/>
        <family val="2"/>
      </rPr>
      <t xml:space="preserve">)
</t>
    </r>
  </si>
  <si>
    <t>=NORM.INV(C10;C11;C12)</t>
  </si>
  <si>
    <t>=NORM.INV(C18;C19;C20)</t>
  </si>
  <si>
    <t>NORM.VERT()</t>
  </si>
  <si>
    <t>NORM.DIST()</t>
  </si>
  <si>
    <r>
      <t>=NORM.VERT(</t>
    </r>
    <r>
      <rPr>
        <b/>
        <i/>
        <sz val="12"/>
        <color indexed="59"/>
        <rFont val="Arial"/>
        <family val="2"/>
      </rPr>
      <t>x;Mittelwert;Standabwn;Kumuliert</t>
    </r>
    <r>
      <rPr>
        <b/>
        <sz val="12"/>
        <color indexed="59"/>
        <rFont val="Arial"/>
        <family val="2"/>
      </rPr>
      <t xml:space="preserve">)
</t>
    </r>
  </si>
  <si>
    <r>
      <t>x</t>
    </r>
    <r>
      <rPr>
        <sz val="10"/>
        <color indexed="59"/>
        <rFont val="Arial"/>
        <family val="2"/>
      </rPr>
      <t xml:space="preserve"> ist der Wert der Verteilung (Quantil), dessen Wahrscheinlichkeit Sie berechnen möchten.
</t>
    </r>
    <r>
      <rPr>
        <b/>
        <i/>
        <sz val="10"/>
        <color indexed="59"/>
        <rFont val="Arial"/>
        <family val="2"/>
      </rPr>
      <t>Mittelwert</t>
    </r>
    <r>
      <rPr>
        <sz val="10"/>
        <color indexed="59"/>
        <rFont val="Arial"/>
        <family val="2"/>
      </rPr>
      <t xml:space="preserve"> ist das arithmetische Mittel der Verteilung.
</t>
    </r>
    <r>
      <rPr>
        <b/>
        <i/>
        <sz val="10"/>
        <color indexed="59"/>
        <rFont val="Arial"/>
        <family val="2"/>
      </rPr>
      <t>Standabwn</t>
    </r>
    <r>
      <rPr>
        <sz val="10"/>
        <color indexed="59"/>
        <rFont val="Arial"/>
        <family val="2"/>
      </rPr>
      <t xml:space="preserve">ist die Standardabweichung der Verteilung.
</t>
    </r>
    <r>
      <rPr>
        <b/>
        <i/>
        <sz val="10"/>
        <color indexed="59"/>
        <rFont val="Arial"/>
        <family val="2"/>
      </rPr>
      <t>Kumuliert</t>
    </r>
    <r>
      <rPr>
        <sz val="10"/>
        <color indexed="59"/>
        <rFont val="Arial"/>
        <family val="2"/>
      </rPr>
      <t xml:space="preserve"> ist der Wahrheitswert, der den Typ der Funktion bestimmt. Ist </t>
    </r>
    <r>
      <rPr>
        <b/>
        <i/>
        <sz val="10"/>
        <color indexed="59"/>
        <rFont val="Arial"/>
        <family val="2"/>
      </rPr>
      <t>Kumuliert</t>
    </r>
    <r>
      <rPr>
        <sz val="10"/>
        <color indexed="59"/>
        <rFont val="Arial"/>
        <family val="2"/>
      </rPr>
      <t xml:space="preserve"> mit WAHR belegt, gibt NORM.VERT() den Wert der Verteilungsfunktion (kumulierte Dichtefunktion) zurück. Ist </t>
    </r>
    <r>
      <rPr>
        <b/>
        <i/>
        <sz val="10"/>
        <color indexed="59"/>
        <rFont val="Arial"/>
        <family val="2"/>
      </rPr>
      <t>Kumuliert</t>
    </r>
    <r>
      <rPr>
        <sz val="10"/>
        <color indexed="59"/>
        <rFont val="Arial"/>
        <family val="2"/>
      </rPr>
      <t xml:space="preserve"> mit FALSCH belegt, gibt NORM.VERT() den Wert der Dichtefunktion zurück.</t>
    </r>
  </si>
  <si>
    <t>=NORM.VERT(C11;C12;C13;C14)</t>
  </si>
  <si>
    <t>=NORM.VERT(C11;C12;C13;C15)</t>
  </si>
  <si>
    <t>=NORM.VERT(C24;C25;C26;C27)</t>
  </si>
  <si>
    <t>=NORM.VERT(C24;C25;C26;C28)</t>
  </si>
  <si>
    <t>NORM.S.INV()</t>
  </si>
  <si>
    <t>NORM.S.INV(Wahrsch)</t>
  </si>
  <si>
    <t>=NORM.S.INV(D10)</t>
  </si>
  <si>
    <t>NORM.S.VERT()</t>
  </si>
  <si>
    <t>NORM.S.DIST()</t>
  </si>
  <si>
    <r>
      <t>NORM.S.VERT(</t>
    </r>
    <r>
      <rPr>
        <b/>
        <i/>
        <sz val="12"/>
        <color indexed="59"/>
        <rFont val="Arial"/>
        <family val="2"/>
      </rPr>
      <t>z;kumuliert</t>
    </r>
    <r>
      <rPr>
        <b/>
        <sz val="12"/>
        <color indexed="59"/>
        <rFont val="Arial"/>
        <family val="2"/>
      </rPr>
      <t>)</t>
    </r>
  </si>
  <si>
    <r>
      <t>z</t>
    </r>
    <r>
      <rPr>
        <sz val="10"/>
        <color indexed="59"/>
        <rFont val="Arial"/>
        <family val="2"/>
      </rPr>
      <t xml:space="preserve"> ist der Wert der Verteilung (Quantil), dessen Wahrscheinlichkeit Sie berechnen möchten.
Kumuliert ist ein Wahrheitswert, der den Typ der Funktion bestimmt.</t>
    </r>
  </si>
  <si>
    <t>=NORM.S.VERT(D10;WAHR)</t>
  </si>
  <si>
    <t>POISSON.VERT()</t>
  </si>
  <si>
    <t>POISSON.DIST()</t>
  </si>
  <si>
    <r>
      <t>POISSON.VERT(</t>
    </r>
    <r>
      <rPr>
        <b/>
        <i/>
        <sz val="12"/>
        <color indexed="59"/>
        <rFont val="Arial"/>
        <family val="2"/>
      </rPr>
      <t>x; Mittelwert;Kumuliert</t>
    </r>
    <r>
      <rPr>
        <b/>
        <sz val="12"/>
        <color indexed="59"/>
        <rFont val="Arial"/>
        <family val="2"/>
      </rPr>
      <t>)</t>
    </r>
  </si>
  <si>
    <r>
      <t>x</t>
    </r>
    <r>
      <rPr>
        <sz val="10"/>
        <color indexed="59"/>
        <rFont val="Arial"/>
        <family val="2"/>
      </rPr>
      <t xml:space="preserve"> ist die Zahl der Fälle.
</t>
    </r>
    <r>
      <rPr>
        <b/>
        <i/>
        <sz val="10"/>
        <color indexed="59"/>
        <rFont val="Arial"/>
        <family val="2"/>
      </rPr>
      <t>Mittelwert</t>
    </r>
    <r>
      <rPr>
        <sz val="10"/>
        <color indexed="59"/>
        <rFont val="Arial"/>
        <family val="2"/>
      </rPr>
      <t xml:space="preserve"> ist der erwartete Zahlenwert.
</t>
    </r>
    <r>
      <rPr>
        <b/>
        <i/>
        <sz val="10"/>
        <color indexed="59"/>
        <rFont val="Arial"/>
        <family val="2"/>
      </rPr>
      <t>Kumuliert</t>
    </r>
    <r>
      <rPr>
        <sz val="10"/>
        <color indexed="59"/>
        <rFont val="Arial"/>
        <family val="2"/>
      </rPr>
      <t xml:space="preserve"> ist der Wahrheitswert, der den Typ der Funktion bestimmt. Ist Kumuliert mit WAHR belegt, gibt POISSON.VERT() den Wert der Verteilungsfunktion der jeweiligen Poissonverteilung zurück, also die Wahrscheinlichkeit, dass die Anzahl zufällig eintretender Ereignisse zwischen 0 und einschließlich x liegt. Ist Kumuliert mit FALSCH belegt, gibt POISSON.VERT den Wert der Wahrscheinlichkeitsfunktion zurück, also die Wahrscheinlichkeit, dass die Anzahl der Ereignisse genau x sein wird.</t>
    </r>
  </si>
  <si>
    <t>=POISSON.VERT(H15;H16;H17)</t>
  </si>
  <si>
    <t>=POISSON.VERT(H26;H27;H28)</t>
  </si>
  <si>
    <t>T.INV.2S()</t>
  </si>
  <si>
    <t>T.INV.2T()</t>
  </si>
  <si>
    <r>
      <t>T.INV.2S(</t>
    </r>
    <r>
      <rPr>
        <b/>
        <i/>
        <sz val="12"/>
        <color indexed="59"/>
        <rFont val="Arial"/>
        <family val="2"/>
      </rPr>
      <t>Wahrsch;Freiheitsgrade</t>
    </r>
    <r>
      <rPr>
        <b/>
        <sz val="12"/>
        <color indexed="59"/>
        <rFont val="Arial"/>
        <family val="2"/>
      </rPr>
      <t>)</t>
    </r>
  </si>
  <si>
    <t>=T.INV.2S(F10*2;F13)</t>
  </si>
  <si>
    <t>Ergebnis für T.TEST</t>
  </si>
  <si>
    <t>=T.TEST(B8:B17;C8:C17;1;2)</t>
  </si>
  <si>
    <t>Die Funktion T.TEST liefert eine 1,4%-ige Wahrscheinlichkeit dafür, dass zwischen den 
beiden Stichprobenmittelwerten ein Unterschied besteht. Ist das Ergebnis von TTEST kleiner als das vorgegeben Signifikanzniveau, wird die Nullhypothese verworfen.</t>
  </si>
  <si>
    <t>=T.VERT.2S(1,73960671564883;F13;1)</t>
  </si>
  <si>
    <t>Die Funktion T.VERT.RE liefert ein Signifikanzniveau für den kritischen Wert der Stichproben von 5%. Dieser Wert sagt aus, dass es eine 10%-ige Wahrscheinlichkeit dafür gibt, dass die Nullhypothese angenommen werden kann.</t>
  </si>
  <si>
    <t>Ergebnis für T.VERT.2S</t>
  </si>
  <si>
    <t>Ergebnis für T.INV.2S</t>
  </si>
  <si>
    <t>T.INV()</t>
  </si>
  <si>
    <r>
      <t>T.INV(</t>
    </r>
    <r>
      <rPr>
        <b/>
        <i/>
        <sz val="12"/>
        <color indexed="59"/>
        <rFont val="Arial"/>
        <family val="2"/>
      </rPr>
      <t>Wahrsch;Freiheitsgrade</t>
    </r>
    <r>
      <rPr>
        <b/>
        <sz val="12"/>
        <color indexed="59"/>
        <rFont val="Arial"/>
        <family val="2"/>
      </rPr>
      <t>)</t>
    </r>
  </si>
  <si>
    <t>T.TEST()</t>
  </si>
  <si>
    <r>
      <t>T.TEST(</t>
    </r>
    <r>
      <rPr>
        <b/>
        <i/>
        <sz val="12"/>
        <color indexed="59"/>
        <rFont val="Arial"/>
        <family val="2"/>
      </rPr>
      <t>Matrix1;Matrix2;Seiten;Typ</t>
    </r>
    <r>
      <rPr>
        <b/>
        <sz val="12"/>
        <color indexed="59"/>
        <rFont val="Arial"/>
        <family val="2"/>
      </rPr>
      <t>)</t>
    </r>
  </si>
  <si>
    <t>=T.TEST(B10:B19;C10:C19;1;2)</t>
  </si>
  <si>
    <r>
      <t>Matrix1</t>
    </r>
    <r>
      <rPr>
        <sz val="10"/>
        <color indexed="59"/>
        <rFont val="Arial"/>
        <family val="2"/>
      </rPr>
      <t xml:space="preserve"> ist die erste Datengruppe.
</t>
    </r>
    <r>
      <rPr>
        <b/>
        <i/>
        <sz val="10"/>
        <color indexed="59"/>
        <rFont val="Arial"/>
        <family val="2"/>
      </rPr>
      <t xml:space="preserve">Matrix2 </t>
    </r>
    <r>
      <rPr>
        <sz val="10"/>
        <color indexed="59"/>
        <rFont val="Arial"/>
        <family val="2"/>
      </rPr>
      <t xml:space="preserve">ist die zweite Datengruppe.
</t>
    </r>
    <r>
      <rPr>
        <b/>
        <i/>
        <sz val="10"/>
        <color indexed="59"/>
        <rFont val="Arial"/>
        <family val="2"/>
      </rPr>
      <t>Seiten</t>
    </r>
    <r>
      <rPr>
        <sz val="10"/>
        <color indexed="59"/>
        <rFont val="Arial"/>
        <family val="2"/>
      </rPr>
      <t xml:space="preserve"> bestimmt die Anzahl der Endflächen (Schwänze). Ist Seiten = 1, verwendet T.TEST eine Endfläche (einseitiger Test). Ist Seiten = 2, verwendet T.TEST eine Endfläche (zweiseitiger Test).
</t>
    </r>
    <r>
      <rPr>
        <b/>
        <i/>
        <sz val="10"/>
        <color indexed="59"/>
        <rFont val="Arial"/>
        <family val="2"/>
      </rPr>
      <t>Typ</t>
    </r>
    <r>
      <rPr>
        <sz val="10"/>
        <color indexed="59"/>
        <rFont val="Arial"/>
        <family val="2"/>
      </rPr>
      <t xml:space="preserve"> bestimmt den Typ des durchzuführenden t-Tests.</t>
    </r>
  </si>
  <si>
    <t>Die Funktion T.TEST liefert eine 1,4%-ige Wahrscheinlichkeit dafür, dass zwischen den beiden Stichprobenmittelwerten ein Unterschied besteht.</t>
  </si>
  <si>
    <t>Ist das Ergebnis von T.TEST kleiner als das vorgegebe Signifikanzniveau, wird die Nullhypothese verworfen.</t>
  </si>
  <si>
    <t>T.VERT.2S()</t>
  </si>
  <si>
    <t>T.DIST.2T()</t>
  </si>
  <si>
    <r>
      <t>T.VERT.2S(</t>
    </r>
    <r>
      <rPr>
        <b/>
        <i/>
        <sz val="12"/>
        <color indexed="59"/>
        <rFont val="Arial"/>
        <family val="2"/>
      </rPr>
      <t>x;FreiheitsGrade</t>
    </r>
    <r>
      <rPr>
        <b/>
        <sz val="12"/>
        <color indexed="59"/>
        <rFont val="Arial"/>
        <family val="2"/>
      </rPr>
      <t>)</t>
    </r>
  </si>
  <si>
    <r>
      <t>x</t>
    </r>
    <r>
      <rPr>
        <sz val="10"/>
        <color indexed="59"/>
        <rFont val="Arial"/>
        <family val="2"/>
      </rPr>
      <t xml:space="preserve"> ist der Wert der Verteilung (Quantil), dessen Wahrscheinlichkeit Sie berechnen möchten.
</t>
    </r>
    <r>
      <rPr>
        <b/>
        <i/>
        <sz val="10"/>
        <color indexed="59"/>
        <rFont val="Arial"/>
        <family val="2"/>
      </rPr>
      <t>Freiheitsgrade</t>
    </r>
    <r>
      <rPr>
        <sz val="10"/>
        <color indexed="59"/>
        <rFont val="Arial"/>
        <family val="2"/>
      </rPr>
      <t xml:space="preserve"> ist eine ganze Zahl, durch die die Anzahl der Freiheitsgrade bestimmt wird.</t>
    </r>
    <r>
      <rPr>
        <b/>
        <i/>
        <sz val="10"/>
        <color indexed="59"/>
        <rFont val="Arial"/>
        <family val="2"/>
      </rPr>
      <t/>
    </r>
  </si>
  <si>
    <t>=T.TEST(B9:B18;C9:C18;1;2)</t>
  </si>
  <si>
    <t>=T.VERT.2S(F16;F14)</t>
  </si>
  <si>
    <t>Die Funktion T.VERT.2S liefert ein Signifikanzniveau für den kritischen Wert der Stichproben von 10%. Dieser Wert sagt aus, dass es eine 5%-ige Wahrscheinlichkeit dafür gibt, dass die Nullhypothese angenommen werden kann.</t>
  </si>
  <si>
    <t>Die Funktion T.TEST liefert eine 1,4%-ige Wahrscheinlichkeit dafür, dass zwischen den 
beiden Stichprobenmittelwerten ein Unterschied besteht. Ist das Ergebnis von T.TEST kleiner als das vorgegebe Signifikanzniveau, wird die Nullhypothese verworfen.</t>
  </si>
  <si>
    <t>T.VERT()</t>
  </si>
  <si>
    <t>T.DIST()</t>
  </si>
  <si>
    <r>
      <t>T.VERT(</t>
    </r>
    <r>
      <rPr>
        <b/>
        <i/>
        <sz val="12"/>
        <color indexed="59"/>
        <rFont val="Arial"/>
        <family val="2"/>
      </rPr>
      <t>x;FreiheitsGrade;kumuliert</t>
    </r>
    <r>
      <rPr>
        <b/>
        <sz val="12"/>
        <color indexed="59"/>
        <rFont val="Arial"/>
        <family val="2"/>
      </rPr>
      <t>)</t>
    </r>
  </si>
  <si>
    <r>
      <t xml:space="preserve">x </t>
    </r>
    <r>
      <rPr>
        <sz val="10"/>
        <color indexed="59"/>
        <rFont val="Arial"/>
        <family val="2"/>
      </rPr>
      <t xml:space="preserve">(erforderlich) ist der numerische Wert, für den die Verteilung ausgewertet werden soll.
</t>
    </r>
    <r>
      <rPr>
        <b/>
        <i/>
        <sz val="10"/>
        <color indexed="59"/>
        <rFont val="Arial"/>
        <family val="2"/>
      </rPr>
      <t>Freiheitsgrade</t>
    </r>
    <r>
      <rPr>
        <sz val="10"/>
        <color indexed="59"/>
        <rFont val="Arial"/>
        <family val="2"/>
      </rPr>
      <t xml:space="preserve"> (erforderlich) ist eine ganze Zahl, mit der die Anzahl der Freiheitsgrade angegeben wird.</t>
    </r>
    <r>
      <rPr>
        <b/>
        <i/>
        <sz val="10"/>
        <color indexed="59"/>
        <rFont val="Arial"/>
        <family val="2"/>
      </rPr>
      <t xml:space="preserve">
Kumuliert</t>
    </r>
    <r>
      <rPr>
        <sz val="10"/>
        <color indexed="59"/>
        <rFont val="Arial"/>
        <family val="2"/>
      </rPr>
      <t xml:space="preserve"> (erforderlich) ist der Wahrheitswert, der den Typ der Funktion bestimmt. Ist Kumuliert mit WAHR belegt, gibt T.VERT() die kumulierte Verteilungsfunktion zurück. Ist Kumuliert mit FALSCH belegt, gibt die Funktion die Wahrscheinlichkeitsdichtefunktion zurück.</t>
    </r>
  </si>
  <si>
    <t>T.VERT.RE()</t>
  </si>
  <si>
    <t>T.DIST.RT()</t>
  </si>
  <si>
    <r>
      <t>T.VERT.RE(</t>
    </r>
    <r>
      <rPr>
        <b/>
        <i/>
        <sz val="12"/>
        <color indexed="59"/>
        <rFont val="Arial"/>
        <family val="2"/>
      </rPr>
      <t>x;FreiheitsGrade</t>
    </r>
    <r>
      <rPr>
        <b/>
        <sz val="12"/>
        <color indexed="59"/>
        <rFont val="Arial"/>
        <family val="2"/>
      </rPr>
      <t>)</t>
    </r>
  </si>
  <si>
    <t>WEIBULL.VERT()</t>
  </si>
  <si>
    <t>WEIBULL.DIST()</t>
  </si>
  <si>
    <r>
      <t>WEIBULL.VERT(</t>
    </r>
    <r>
      <rPr>
        <b/>
        <i/>
        <sz val="12"/>
        <color indexed="59"/>
        <rFont val="Arial"/>
        <family val="2"/>
      </rPr>
      <t>x;Alpha;Beta;Kumuliert</t>
    </r>
    <r>
      <rPr>
        <b/>
        <sz val="12"/>
        <color indexed="59"/>
        <rFont val="Arial"/>
        <family val="2"/>
      </rPr>
      <t>)</t>
    </r>
  </si>
  <si>
    <t>Berechnung von WEIBULL.VERT()</t>
  </si>
  <si>
    <t>WEIBULL.VERT() für Kumuliert = WAHR</t>
  </si>
  <si>
    <t>WEIBULL.VERT() für Kumuliert = FALSCH</t>
  </si>
  <si>
    <t>=WEIBULL.VERT(E10;E11;E12;E13)</t>
  </si>
  <si>
    <t>=WEIBULL.VERT(E10;E11;E12;E14)</t>
  </si>
  <si>
    <t>s. Beispiel unter ChiQu.Inv.Re</t>
  </si>
  <si>
    <t>s. Beispiel unter ChiQu.Vert.Re</t>
  </si>
  <si>
    <t>s. Beispiel unter F.inv.re</t>
  </si>
  <si>
    <t>s. Beispiel unter F.vert.re</t>
  </si>
  <si>
    <t>s. Beispiel unter Gammaln</t>
  </si>
  <si>
    <t>s. Beispiel unter Konfidenz</t>
  </si>
  <si>
    <t>s. Beispiel unter T.inv.2s</t>
  </si>
  <si>
    <t>s. Beispiel unter T.vert.2s</t>
  </si>
  <si>
    <t>=KONFIDENZ.NORM(G12;G11;G13)</t>
  </si>
  <si>
    <t>=KONFIDENZ.NORM(H12;H11;H13)</t>
  </si>
  <si>
    <r>
      <t>X</t>
    </r>
    <r>
      <rPr>
        <sz val="10"/>
        <color indexed="59"/>
        <rFont val="Arial"/>
        <family val="2"/>
      </rPr>
      <t xml:space="preserve"> ist der Wert, an dem die Funktion im Intervall zwischen A und B ausgewertet werden soll
</t>
    </r>
    <r>
      <rPr>
        <b/>
        <i/>
        <sz val="10"/>
        <color indexed="59"/>
        <rFont val="Arial"/>
        <family val="2"/>
      </rPr>
      <t>Alpha</t>
    </r>
    <r>
      <rPr>
        <sz val="10"/>
        <color indexed="59"/>
        <rFont val="Arial"/>
        <family val="2"/>
      </rPr>
      <t xml:space="preserve"> ist ein Parameter der Verteilung.
</t>
    </r>
    <r>
      <rPr>
        <b/>
        <i/>
        <sz val="10"/>
        <color indexed="59"/>
        <rFont val="Arial"/>
        <family val="2"/>
      </rPr>
      <t xml:space="preserve">Beta </t>
    </r>
    <r>
      <rPr>
        <sz val="10"/>
        <color indexed="59"/>
        <rFont val="Arial"/>
        <family val="2"/>
      </rPr>
      <t xml:space="preserve">ist ein Parameter der Verteilung.
</t>
    </r>
    <r>
      <rPr>
        <b/>
        <i/>
        <sz val="10"/>
        <color indexed="59"/>
        <rFont val="Arial"/>
        <family val="2"/>
      </rPr>
      <t>Kumuliert</t>
    </r>
    <r>
      <rPr>
        <sz val="10"/>
        <color indexed="59"/>
        <rFont val="Arial"/>
        <family val="2"/>
      </rPr>
      <t xml:space="preserve"> ist der Wahrheitswert, der den Typ der Funktion bestimmt.
</t>
    </r>
    <r>
      <rPr>
        <i/>
        <sz val="10"/>
        <color indexed="59"/>
        <rFont val="Arial"/>
        <family val="2"/>
      </rPr>
      <t>A</t>
    </r>
    <r>
      <rPr>
        <sz val="10"/>
        <color indexed="59"/>
        <rFont val="Arial"/>
        <family val="2"/>
      </rPr>
      <t xml:space="preserve"> ist die optionale untere Grenze des Intervalls für X.
</t>
    </r>
    <r>
      <rPr>
        <i/>
        <sz val="10"/>
        <color indexed="59"/>
        <rFont val="Arial"/>
        <family val="2"/>
      </rPr>
      <t>B</t>
    </r>
    <r>
      <rPr>
        <sz val="10"/>
        <color indexed="59"/>
        <rFont val="Arial"/>
        <family val="2"/>
      </rPr>
      <t xml:space="preserve"> ist die optionale obere Grenze des Intervalls für X.</t>
    </r>
  </si>
  <si>
    <r>
      <t>BETA.VERT(X</t>
    </r>
    <r>
      <rPr>
        <b/>
        <i/>
        <sz val="12"/>
        <color indexed="59"/>
        <rFont val="Arial"/>
        <family val="2"/>
      </rPr>
      <t>;Alpha;Beta;Kumuliert;</t>
    </r>
    <r>
      <rPr>
        <i/>
        <sz val="12"/>
        <color indexed="59"/>
        <rFont val="Arial"/>
        <family val="2"/>
      </rPr>
      <t>A;B</t>
    </r>
    <r>
      <rPr>
        <b/>
        <sz val="12"/>
        <color indexed="59"/>
        <rFont val="Arial"/>
        <family val="2"/>
      </rPr>
      <t>)</t>
    </r>
  </si>
  <si>
    <t>Wahrheitswert (kumuliert)</t>
  </si>
  <si>
    <t>=BETA.VERT(E9;E10;E11;wahr;E12;E13)</t>
  </si>
  <si>
    <t>GAMMALN.GENAU()</t>
  </si>
  <si>
    <t>GAMMALN.PRECISE()</t>
  </si>
  <si>
    <r>
      <t>GAMMALN.GENAU(</t>
    </r>
    <r>
      <rPr>
        <b/>
        <i/>
        <sz val="12"/>
        <color indexed="59"/>
        <rFont val="Arial"/>
        <family val="2"/>
      </rPr>
      <t>x</t>
    </r>
    <r>
      <rPr>
        <b/>
        <sz val="12"/>
        <color indexed="59"/>
        <rFont val="Arial"/>
        <family val="2"/>
      </rPr>
      <t>)</t>
    </r>
  </si>
  <si>
    <r>
      <t xml:space="preserve">x </t>
    </r>
    <r>
      <rPr>
        <sz val="10"/>
        <color indexed="59"/>
        <rFont val="Arial"/>
        <family val="2"/>
      </rPr>
      <t>ist der Wert, für den GAMMALN.GENAU berechnet werden soll.</t>
    </r>
  </si>
  <si>
    <r>
      <t>Erfolge_S</t>
    </r>
    <r>
      <rPr>
        <sz val="10"/>
        <color indexed="59"/>
        <rFont val="Arial"/>
        <family val="2"/>
      </rPr>
      <t xml:space="preserve"> ist die Anzahl der in der Stichprobe erzielten Erfolge
</t>
    </r>
    <r>
      <rPr>
        <b/>
        <i/>
        <sz val="10"/>
        <color indexed="59"/>
        <rFont val="Arial"/>
        <family val="2"/>
      </rPr>
      <t>Umfang_S</t>
    </r>
    <r>
      <rPr>
        <sz val="10"/>
        <color indexed="59"/>
        <rFont val="Arial"/>
        <family val="2"/>
      </rPr>
      <t xml:space="preserve"> ist der Umfang (Größe) der Stichprobe
</t>
    </r>
    <r>
      <rPr>
        <b/>
        <i/>
        <sz val="10"/>
        <color indexed="59"/>
        <rFont val="Arial"/>
        <family val="2"/>
      </rPr>
      <t>Erfolge_G</t>
    </r>
    <r>
      <rPr>
        <sz val="10"/>
        <color indexed="59"/>
        <rFont val="Arial"/>
        <family val="2"/>
      </rPr>
      <t xml:space="preserve"> ist die Anzahl der in der Grundgesamtheit möglichen Erfolge
</t>
    </r>
    <r>
      <rPr>
        <b/>
        <i/>
        <sz val="10"/>
        <color indexed="59"/>
        <rFont val="Arial"/>
        <family val="2"/>
      </rPr>
      <t>Umfang_G</t>
    </r>
    <r>
      <rPr>
        <sz val="10"/>
        <color indexed="59"/>
        <rFont val="Arial"/>
        <family val="2"/>
      </rPr>
      <t xml:space="preserve"> ist der Umfang (Größe) der Grundgesamtheit
</t>
    </r>
    <r>
      <rPr>
        <b/>
        <i/>
        <sz val="10"/>
        <color indexed="59"/>
        <rFont val="Arial"/>
        <family val="2"/>
      </rPr>
      <t>Kumuliert</t>
    </r>
    <r>
      <rPr>
        <sz val="10"/>
        <color indexed="59"/>
        <rFont val="Arial"/>
        <family val="2"/>
      </rPr>
      <t xml:space="preserve"> ist ein Wahrheitswert, der den Typ der Funktion bestimmt.</t>
    </r>
  </si>
  <si>
    <t>=HYPGEOM.VERT(C9;C10;C11;C12;falsch)</t>
  </si>
  <si>
    <r>
      <t>x</t>
    </r>
    <r>
      <rPr>
        <sz val="10"/>
        <color indexed="59"/>
        <rFont val="Arial"/>
        <family val="2"/>
      </rPr>
      <t xml:space="preserve"> ist der Wert, für den die Funktion ausgewertet werden soll.
</t>
    </r>
    <r>
      <rPr>
        <b/>
        <i/>
        <sz val="10"/>
        <color indexed="59"/>
        <rFont val="Arial"/>
        <family val="2"/>
      </rPr>
      <t>Mittelwert</t>
    </r>
    <r>
      <rPr>
        <sz val="10"/>
        <color indexed="59"/>
        <rFont val="Arial"/>
        <family val="2"/>
      </rPr>
      <t xml:space="preserve"> ist der Mittelwert der Lognormalverteilung.
</t>
    </r>
    <r>
      <rPr>
        <b/>
        <i/>
        <sz val="10"/>
        <color indexed="59"/>
        <rFont val="Arial"/>
        <family val="2"/>
      </rPr>
      <t>Standabwn</t>
    </r>
    <r>
      <rPr>
        <sz val="10"/>
        <color indexed="59"/>
        <rFont val="Arial"/>
        <family val="2"/>
      </rPr>
      <t xml:space="preserve"> ist die Standardabweichung der Lognormalverteilung.
</t>
    </r>
    <r>
      <rPr>
        <b/>
        <i/>
        <sz val="10"/>
        <color indexed="59"/>
        <rFont val="Arial"/>
        <family val="2"/>
      </rPr>
      <t>Kumuliert</t>
    </r>
    <r>
      <rPr>
        <sz val="10"/>
        <color indexed="59"/>
        <rFont val="Arial"/>
        <family val="2"/>
      </rPr>
      <t xml:space="preserve"> ist der Wahrheitswert, der den Typ der Funktion bestimmt</t>
    </r>
  </si>
  <si>
    <t>=LOGNORM.VERT(E10;E11;E12;wahr)</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</si>
</sst>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 _€_-;\-* #,##0\ _€_-;_-* &quot;-&quot;\ _€_-;_-@_-"/>
    <numFmt numFmtId="43" formatCode="_-* #,##0.00\ _€_-;\-* #,##0.00\ _€_-;_-* &quot;-&quot;??\ _€_-;_-@_-"/>
    <numFmt numFmtId="164" formatCode="0.0000"/>
    <numFmt numFmtId="165" formatCode="0.000"/>
    <numFmt numFmtId="166" formatCode="_-* #,##0.0000\ _€_-;\-* #,##0.0000\ _€_-;_-* &quot;-&quot;??\ _€_-;_-@_-"/>
    <numFmt numFmtId="167" formatCode="0.0000000"/>
    <numFmt numFmtId="168" formatCode="0.0%"/>
    <numFmt numFmtId="169" formatCode="0.000000"/>
    <numFmt numFmtId="170" formatCode="0.0"/>
    <numFmt numFmtId="171" formatCode="0.00000"/>
    <numFmt numFmtId="172" formatCode="0.0000%"/>
    <numFmt numFmtId="173" formatCode="0.000000%"/>
    <numFmt numFmtId="174" formatCode="mmmm\ yyyy"/>
    <numFmt numFmtId="175" formatCode="#,##0.0000_ ;\-#,##0.0000\ "/>
    <numFmt numFmtId="176" formatCode="#,##0_ ;\-#,##0\ "/>
  </numFmts>
  <fonts count="44" x14ac:knownFonts="1">
    <font>
      <sz val="10"/>
      <name val="Arial"/>
    </font>
    <font>
      <sz val="10"/>
      <name val="Arial"/>
      <family val="2"/>
    </font>
    <font>
      <b/>
      <sz val="10"/>
      <name val="Arial"/>
      <family val="2"/>
    </font>
    <font>
      <b/>
      <i/>
      <u/>
      <sz val="10"/>
      <color indexed="10"/>
      <name val="Arial"/>
      <family val="2"/>
    </font>
    <font>
      <u/>
      <sz val="10"/>
      <color indexed="12"/>
      <name val="Arial"/>
      <family val="2"/>
    </font>
    <font>
      <sz val="8"/>
      <name val="Arial"/>
      <family val="2"/>
    </font>
    <font>
      <sz val="10"/>
      <name val="Arial"/>
      <family val="2"/>
    </font>
    <font>
      <b/>
      <i/>
      <sz val="12"/>
      <color indexed="59"/>
      <name val="Arial"/>
      <family val="2"/>
    </font>
    <font>
      <sz val="12"/>
      <color indexed="59"/>
      <name val="Arial"/>
      <family val="2"/>
    </font>
    <font>
      <b/>
      <sz val="12"/>
      <color indexed="59"/>
      <name val="Arial"/>
      <family val="2"/>
    </font>
    <font>
      <b/>
      <i/>
      <sz val="10"/>
      <color indexed="59"/>
      <name val="Arial"/>
      <family val="2"/>
    </font>
    <font>
      <sz val="10"/>
      <color indexed="59"/>
      <name val="Arial"/>
      <family val="2"/>
    </font>
    <font>
      <b/>
      <sz val="10"/>
      <color indexed="9"/>
      <name val="Arial"/>
      <family val="2"/>
    </font>
    <font>
      <sz val="10"/>
      <color indexed="9"/>
      <name val="Arial"/>
      <family val="2"/>
    </font>
    <font>
      <b/>
      <sz val="11"/>
      <color indexed="9"/>
      <name val="Arial"/>
      <family val="2"/>
    </font>
    <font>
      <b/>
      <sz val="11"/>
      <name val="Arial"/>
      <family val="2"/>
    </font>
    <font>
      <vertAlign val="subscript"/>
      <sz val="8.8000000000000007"/>
      <name val="Arial"/>
      <family val="2"/>
    </font>
    <font>
      <sz val="10"/>
      <name val="Symbol"/>
      <family val="1"/>
      <charset val="2"/>
    </font>
    <font>
      <vertAlign val="subscript"/>
      <sz val="10"/>
      <name val="Arial"/>
      <family val="2"/>
    </font>
    <font>
      <b/>
      <vertAlign val="subscript"/>
      <sz val="12"/>
      <color indexed="9"/>
      <name val="Arial"/>
      <family val="2"/>
    </font>
    <font>
      <vertAlign val="subscript"/>
      <sz val="14"/>
      <name val="Arial"/>
      <family val="2"/>
    </font>
    <font>
      <sz val="14"/>
      <name val="Arial"/>
      <family val="2"/>
    </font>
    <font>
      <i/>
      <sz val="10"/>
      <name val="Arial"/>
      <family val="2"/>
    </font>
    <font>
      <b/>
      <i/>
      <sz val="10"/>
      <name val="Arial"/>
      <family val="2"/>
    </font>
    <font>
      <b/>
      <sz val="12"/>
      <name val="Arial"/>
      <family val="2"/>
    </font>
    <font>
      <b/>
      <i/>
      <sz val="12"/>
      <name val="Arial"/>
      <family val="2"/>
    </font>
    <font>
      <b/>
      <u/>
      <sz val="12"/>
      <color indexed="59"/>
      <name val="Arial"/>
      <family val="2"/>
    </font>
    <font>
      <b/>
      <vertAlign val="subscript"/>
      <sz val="14"/>
      <color indexed="9"/>
      <name val="Arial"/>
      <family val="2"/>
    </font>
    <font>
      <b/>
      <sz val="14"/>
      <color indexed="9"/>
      <name val="Arial"/>
      <family val="2"/>
    </font>
    <font>
      <b/>
      <u/>
      <sz val="12"/>
      <color indexed="59"/>
      <name val="Arial"/>
      <family val="2"/>
    </font>
    <font>
      <b/>
      <vertAlign val="subscript"/>
      <sz val="14"/>
      <name val="Arial"/>
      <family val="2"/>
    </font>
    <font>
      <b/>
      <sz val="14"/>
      <name val="Arial"/>
      <family val="2"/>
    </font>
    <font>
      <b/>
      <i/>
      <sz val="10"/>
      <color indexed="9"/>
      <name val="Arial"/>
      <family val="2"/>
    </font>
    <font>
      <i/>
      <sz val="12"/>
      <color indexed="59"/>
      <name val="Arial"/>
      <family val="2"/>
    </font>
    <font>
      <i/>
      <sz val="10"/>
      <color indexed="59"/>
      <name val="Arial"/>
      <family val="2"/>
    </font>
    <font>
      <sz val="11"/>
      <name val="Arial"/>
      <family val="2"/>
    </font>
    <font>
      <b/>
      <sz val="11"/>
      <color indexed="9"/>
      <name val="Arial"/>
      <family val="2"/>
    </font>
    <font>
      <sz val="11"/>
      <color indexed="9"/>
      <name val="Arial"/>
      <family val="2"/>
    </font>
    <font>
      <sz val="10"/>
      <color indexed="9"/>
      <name val="Arial"/>
      <family val="2"/>
    </font>
    <font>
      <sz val="10"/>
      <name val="Times New Roman"/>
      <family val="1"/>
    </font>
    <font>
      <b/>
      <sz val="10"/>
      <color indexed="59"/>
      <name val="Arial"/>
      <family val="2"/>
    </font>
    <font>
      <sz val="10"/>
      <color indexed="22"/>
      <name val="Symbol"/>
      <family val="1"/>
      <charset val="2"/>
    </font>
    <font>
      <b/>
      <i/>
      <sz val="11"/>
      <color indexed="9"/>
      <name val="Arial"/>
      <family val="2"/>
    </font>
    <font>
      <b/>
      <sz val="10"/>
      <name val="Arial"/>
      <family val="2"/>
    </font>
  </fonts>
  <fills count="9">
    <fill>
      <patternFill patternType="none"/>
    </fill>
    <fill>
      <patternFill patternType="gray125"/>
    </fill>
    <fill>
      <patternFill patternType="solid">
        <fgColor indexed="22"/>
        <bgColor indexed="64"/>
      </patternFill>
    </fill>
    <fill>
      <patternFill patternType="solid">
        <fgColor indexed="58"/>
        <bgColor indexed="64"/>
      </patternFill>
    </fill>
    <fill>
      <patternFill patternType="solid">
        <fgColor indexed="60"/>
        <bgColor indexed="64"/>
      </patternFill>
    </fill>
    <fill>
      <patternFill patternType="solid">
        <fgColor indexed="59"/>
        <bgColor indexed="64"/>
      </patternFill>
    </fill>
    <fill>
      <patternFill patternType="solid">
        <fgColor indexed="57"/>
        <bgColor indexed="64"/>
      </patternFill>
    </fill>
    <fill>
      <patternFill patternType="solid">
        <fgColor indexed="52"/>
        <bgColor indexed="64"/>
      </patternFill>
    </fill>
    <fill>
      <patternFill patternType="solid">
        <fgColor theme="0"/>
        <bgColor indexed="64"/>
      </patternFill>
    </fill>
  </fills>
  <borders count="81">
    <border>
      <left/>
      <right/>
      <top/>
      <bottom/>
      <diagonal/>
    </border>
    <border>
      <left/>
      <right style="medium">
        <color indexed="59"/>
      </right>
      <top/>
      <bottom/>
      <diagonal/>
    </border>
    <border>
      <left/>
      <right style="medium">
        <color indexed="59"/>
      </right>
      <top/>
      <bottom style="medium">
        <color indexed="59"/>
      </bottom>
      <diagonal/>
    </border>
    <border>
      <left/>
      <right/>
      <top/>
      <bottom style="medium">
        <color indexed="59"/>
      </bottom>
      <diagonal/>
    </border>
    <border>
      <left style="medium">
        <color indexed="59"/>
      </left>
      <right style="medium">
        <color indexed="59"/>
      </right>
      <top/>
      <bottom/>
      <diagonal/>
    </border>
    <border>
      <left style="medium">
        <color indexed="59"/>
      </left>
      <right style="medium">
        <color indexed="59"/>
      </right>
      <top/>
      <bottom style="medium">
        <color indexed="59"/>
      </bottom>
      <diagonal/>
    </border>
    <border>
      <left style="medium">
        <color indexed="59"/>
      </left>
      <right/>
      <top style="medium">
        <color indexed="59"/>
      </top>
      <bottom style="medium">
        <color indexed="59"/>
      </bottom>
      <diagonal/>
    </border>
    <border>
      <left style="medium">
        <color indexed="9"/>
      </left>
      <right style="medium">
        <color indexed="59"/>
      </right>
      <top style="medium">
        <color indexed="59"/>
      </top>
      <bottom style="medium">
        <color indexed="59"/>
      </bottom>
      <diagonal/>
    </border>
    <border>
      <left style="medium">
        <color indexed="9"/>
      </left>
      <right style="medium">
        <color indexed="9"/>
      </right>
      <top style="medium">
        <color indexed="59"/>
      </top>
      <bottom style="medium">
        <color indexed="59"/>
      </bottom>
      <diagonal/>
    </border>
    <border>
      <left/>
      <right/>
      <top style="medium">
        <color indexed="59"/>
      </top>
      <bottom style="medium">
        <color indexed="59"/>
      </bottom>
      <diagonal/>
    </border>
    <border>
      <left style="medium">
        <color indexed="59"/>
      </left>
      <right style="medium">
        <color indexed="59"/>
      </right>
      <top style="medium">
        <color indexed="59"/>
      </top>
      <bottom style="medium">
        <color indexed="59"/>
      </bottom>
      <diagonal/>
    </border>
    <border>
      <left style="medium">
        <color indexed="59"/>
      </left>
      <right style="medium">
        <color indexed="9"/>
      </right>
      <top style="medium">
        <color indexed="59"/>
      </top>
      <bottom/>
      <diagonal/>
    </border>
    <border>
      <left style="medium">
        <color indexed="59"/>
      </left>
      <right/>
      <top/>
      <bottom/>
      <diagonal/>
    </border>
    <border>
      <left/>
      <right style="medium">
        <color indexed="59"/>
      </right>
      <top style="medium">
        <color indexed="59"/>
      </top>
      <bottom style="thin">
        <color indexed="64"/>
      </bottom>
      <diagonal/>
    </border>
    <border>
      <left style="medium">
        <color indexed="59"/>
      </left>
      <right style="medium">
        <color indexed="9"/>
      </right>
      <top style="medium">
        <color indexed="59"/>
      </top>
      <bottom style="thin">
        <color indexed="64"/>
      </bottom>
      <diagonal/>
    </border>
    <border>
      <left/>
      <right/>
      <top style="medium">
        <color indexed="59"/>
      </top>
      <bottom style="thin">
        <color indexed="64"/>
      </bottom>
      <diagonal/>
    </border>
    <border>
      <left style="medium">
        <color indexed="9"/>
      </left>
      <right style="medium">
        <color indexed="9"/>
      </right>
      <top style="medium">
        <color indexed="59"/>
      </top>
      <bottom style="thin">
        <color indexed="64"/>
      </bottom>
      <diagonal/>
    </border>
    <border>
      <left style="medium">
        <color indexed="59"/>
      </left>
      <right style="medium">
        <color indexed="9"/>
      </right>
      <top style="medium">
        <color indexed="59"/>
      </top>
      <bottom style="medium">
        <color indexed="9"/>
      </bottom>
      <diagonal/>
    </border>
    <border>
      <left/>
      <right style="medium">
        <color indexed="59"/>
      </right>
      <top style="medium">
        <color indexed="59"/>
      </top>
      <bottom/>
      <diagonal/>
    </border>
    <border>
      <left style="medium">
        <color indexed="59"/>
      </left>
      <right style="medium">
        <color indexed="59"/>
      </right>
      <top style="medium">
        <color indexed="59"/>
      </top>
      <bottom/>
      <diagonal/>
    </border>
    <border>
      <left/>
      <right/>
      <top style="medium">
        <color indexed="59"/>
      </top>
      <bottom/>
      <diagonal/>
    </border>
    <border>
      <left style="medium">
        <color indexed="9"/>
      </left>
      <right/>
      <top style="medium">
        <color indexed="59"/>
      </top>
      <bottom/>
      <diagonal/>
    </border>
    <border>
      <left style="medium">
        <color indexed="9"/>
      </left>
      <right style="medium">
        <color indexed="9"/>
      </right>
      <top style="medium">
        <color indexed="59"/>
      </top>
      <bottom/>
      <diagonal/>
    </border>
    <border>
      <left/>
      <right style="medium">
        <color indexed="9"/>
      </right>
      <top style="medium">
        <color indexed="59"/>
      </top>
      <bottom style="medium">
        <color indexed="59"/>
      </bottom>
      <diagonal/>
    </border>
    <border>
      <left style="medium">
        <color indexed="59"/>
      </left>
      <right/>
      <top/>
      <bottom style="medium">
        <color indexed="59"/>
      </bottom>
      <diagonal/>
    </border>
    <border>
      <left/>
      <right style="medium">
        <color indexed="59"/>
      </right>
      <top style="medium">
        <color indexed="59"/>
      </top>
      <bottom style="medium">
        <color indexed="59"/>
      </bottom>
      <diagonal/>
    </border>
    <border>
      <left style="medium">
        <color indexed="9"/>
      </left>
      <right style="medium">
        <color indexed="59"/>
      </right>
      <top/>
      <bottom style="medium">
        <color indexed="59"/>
      </bottom>
      <diagonal/>
    </border>
    <border>
      <left style="medium">
        <color indexed="9"/>
      </left>
      <right/>
      <top style="medium">
        <color indexed="59"/>
      </top>
      <bottom style="medium">
        <color indexed="59"/>
      </bottom>
      <diagonal/>
    </border>
    <border>
      <left/>
      <right style="medium">
        <color indexed="59"/>
      </right>
      <top style="thin">
        <color indexed="64"/>
      </top>
      <bottom/>
      <diagonal/>
    </border>
    <border>
      <left style="medium">
        <color indexed="59"/>
      </left>
      <right style="medium">
        <color indexed="59"/>
      </right>
      <top style="thin">
        <color indexed="64"/>
      </top>
      <bottom/>
      <diagonal/>
    </border>
    <border>
      <left style="medium">
        <color indexed="59"/>
      </left>
      <right/>
      <top style="medium">
        <color indexed="59"/>
      </top>
      <bottom style="thin">
        <color indexed="64"/>
      </bottom>
      <diagonal/>
    </border>
    <border>
      <left style="medium">
        <color indexed="9"/>
      </left>
      <right style="medium">
        <color indexed="59"/>
      </right>
      <top style="medium">
        <color indexed="59"/>
      </top>
      <bottom style="thin">
        <color indexed="64"/>
      </bottom>
      <diagonal/>
    </border>
    <border>
      <left style="medium">
        <color indexed="59"/>
      </left>
      <right/>
      <top style="medium">
        <color indexed="59"/>
      </top>
      <bottom/>
      <diagonal/>
    </border>
    <border>
      <left style="medium">
        <color indexed="9"/>
      </left>
      <right style="medium">
        <color indexed="59"/>
      </right>
      <top style="medium">
        <color indexed="59"/>
      </top>
      <bottom/>
      <diagonal/>
    </border>
    <border>
      <left style="medium">
        <color indexed="59"/>
      </left>
      <right style="medium">
        <color indexed="18"/>
      </right>
      <top/>
      <bottom/>
      <diagonal/>
    </border>
    <border>
      <left style="medium">
        <color indexed="9"/>
      </left>
      <right style="medium">
        <color indexed="59"/>
      </right>
      <top/>
      <bottom/>
      <diagonal/>
    </border>
    <border>
      <left/>
      <right/>
      <top/>
      <bottom style="medium">
        <color indexed="18"/>
      </bottom>
      <diagonal/>
    </border>
    <border>
      <left/>
      <right style="medium">
        <color indexed="9"/>
      </right>
      <top/>
      <bottom/>
      <diagonal/>
    </border>
    <border>
      <left style="medium">
        <color indexed="18"/>
      </left>
      <right style="medium">
        <color indexed="59"/>
      </right>
      <top/>
      <bottom style="medium">
        <color indexed="18"/>
      </bottom>
      <diagonal/>
    </border>
    <border>
      <left/>
      <right style="medium">
        <color indexed="59"/>
      </right>
      <top/>
      <bottom style="medium">
        <color indexed="18"/>
      </bottom>
      <diagonal/>
    </border>
    <border>
      <left/>
      <right style="medium">
        <color indexed="18"/>
      </right>
      <top/>
      <bottom/>
      <diagonal/>
    </border>
    <border>
      <left/>
      <right style="medium">
        <color indexed="18"/>
      </right>
      <top/>
      <bottom style="medium">
        <color indexed="18"/>
      </bottom>
      <diagonal/>
    </border>
    <border>
      <left/>
      <right/>
      <top style="medium">
        <color indexed="18"/>
      </top>
      <bottom style="medium">
        <color indexed="18"/>
      </bottom>
      <diagonal/>
    </border>
    <border>
      <left style="medium">
        <color indexed="18"/>
      </left>
      <right style="medium">
        <color indexed="18"/>
      </right>
      <top/>
      <bottom/>
      <diagonal/>
    </border>
    <border>
      <left style="medium">
        <color indexed="18"/>
      </left>
      <right style="medium">
        <color indexed="18"/>
      </right>
      <top/>
      <bottom style="medium">
        <color indexed="18"/>
      </bottom>
      <diagonal/>
    </border>
    <border>
      <left style="medium">
        <color indexed="9"/>
      </left>
      <right style="medium">
        <color indexed="18"/>
      </right>
      <top style="medium">
        <color indexed="18"/>
      </top>
      <bottom style="medium">
        <color indexed="18"/>
      </bottom>
      <diagonal/>
    </border>
    <border>
      <left style="medium">
        <color indexed="18"/>
      </left>
      <right style="medium">
        <color indexed="9"/>
      </right>
      <top style="medium">
        <color indexed="18"/>
      </top>
      <bottom style="medium">
        <color indexed="18"/>
      </bottom>
      <diagonal/>
    </border>
    <border>
      <left style="medium">
        <color indexed="9"/>
      </left>
      <right style="medium">
        <color indexed="9"/>
      </right>
      <top/>
      <bottom style="medium">
        <color indexed="59"/>
      </bottom>
      <diagonal/>
    </border>
    <border>
      <left style="medium">
        <color indexed="18"/>
      </left>
      <right style="medium">
        <color indexed="59"/>
      </right>
      <top/>
      <bottom/>
      <diagonal/>
    </border>
    <border>
      <left style="medium">
        <color indexed="59"/>
      </left>
      <right/>
      <top style="medium">
        <color indexed="59"/>
      </top>
      <bottom style="medium">
        <color indexed="9"/>
      </bottom>
      <diagonal/>
    </border>
    <border>
      <left/>
      <right style="medium">
        <color indexed="59"/>
      </right>
      <top style="medium">
        <color indexed="59"/>
      </top>
      <bottom style="medium">
        <color indexed="9"/>
      </bottom>
      <diagonal/>
    </border>
    <border>
      <left style="medium">
        <color indexed="59"/>
      </left>
      <right/>
      <top style="medium">
        <color indexed="9"/>
      </top>
      <bottom style="medium">
        <color indexed="9"/>
      </bottom>
      <diagonal/>
    </border>
    <border>
      <left/>
      <right style="medium">
        <color indexed="59"/>
      </right>
      <top style="medium">
        <color indexed="9"/>
      </top>
      <bottom style="medium">
        <color indexed="9"/>
      </bottom>
      <diagonal/>
    </border>
    <border>
      <left style="medium">
        <color indexed="59"/>
      </left>
      <right style="medium">
        <color indexed="59"/>
      </right>
      <top style="medium">
        <color indexed="64"/>
      </top>
      <bottom style="medium">
        <color indexed="59"/>
      </bottom>
      <diagonal/>
    </border>
    <border>
      <left/>
      <right style="medium">
        <color indexed="59"/>
      </right>
      <top style="medium">
        <color indexed="64"/>
      </top>
      <bottom style="medium">
        <color indexed="59"/>
      </bottom>
      <diagonal/>
    </border>
    <border>
      <left style="medium">
        <color indexed="59"/>
      </left>
      <right style="medium">
        <color indexed="9"/>
      </right>
      <top style="medium">
        <color indexed="59"/>
      </top>
      <bottom style="medium">
        <color indexed="59"/>
      </bottom>
      <diagonal/>
    </border>
    <border>
      <left/>
      <right style="medium">
        <color indexed="9"/>
      </right>
      <top style="medium">
        <color indexed="59"/>
      </top>
      <bottom style="medium">
        <color indexed="9"/>
      </bottom>
      <diagonal/>
    </border>
    <border>
      <left style="medium">
        <color indexed="9"/>
      </left>
      <right style="medium">
        <color indexed="9"/>
      </right>
      <top style="medium">
        <color indexed="59"/>
      </top>
      <bottom style="medium">
        <color indexed="9"/>
      </bottom>
      <diagonal/>
    </border>
    <border>
      <left/>
      <right style="medium">
        <color indexed="9"/>
      </right>
      <top/>
      <bottom style="medium">
        <color indexed="59"/>
      </bottom>
      <diagonal/>
    </border>
    <border>
      <left style="medium">
        <color indexed="59"/>
      </left>
      <right style="medium">
        <color indexed="9"/>
      </right>
      <top/>
      <bottom style="medium">
        <color indexed="59"/>
      </bottom>
      <diagonal/>
    </border>
    <border>
      <left style="medium">
        <color indexed="59"/>
      </left>
      <right style="medium">
        <color indexed="59"/>
      </right>
      <top style="medium">
        <color indexed="9"/>
      </top>
      <bottom/>
      <diagonal/>
    </border>
    <border>
      <left style="medium">
        <color indexed="59"/>
      </left>
      <right/>
      <top style="medium">
        <color indexed="9"/>
      </top>
      <bottom style="medium">
        <color indexed="59"/>
      </bottom>
      <diagonal/>
    </border>
    <border>
      <left style="medium">
        <color indexed="9"/>
      </left>
      <right style="medium">
        <color indexed="59"/>
      </right>
      <top style="medium">
        <color indexed="59"/>
      </top>
      <bottom style="medium">
        <color indexed="9"/>
      </bottom>
      <diagonal/>
    </border>
    <border>
      <left style="medium">
        <color indexed="59"/>
      </left>
      <right style="medium">
        <color indexed="9"/>
      </right>
      <top style="medium">
        <color indexed="9"/>
      </top>
      <bottom style="medium">
        <color indexed="59"/>
      </bottom>
      <diagonal/>
    </border>
    <border>
      <left style="medium">
        <color indexed="9"/>
      </left>
      <right style="medium">
        <color indexed="59"/>
      </right>
      <top style="medium">
        <color indexed="9"/>
      </top>
      <bottom style="medium">
        <color indexed="59"/>
      </bottom>
      <diagonal/>
    </border>
    <border>
      <left/>
      <right style="medium">
        <color indexed="9"/>
      </right>
      <top style="medium">
        <color indexed="59"/>
      </top>
      <bottom/>
      <diagonal/>
    </border>
    <border>
      <left/>
      <right/>
      <top style="medium">
        <color indexed="59"/>
      </top>
      <bottom style="medium">
        <color indexed="9"/>
      </bottom>
      <diagonal/>
    </border>
    <border>
      <left/>
      <right/>
      <top style="medium">
        <color indexed="9"/>
      </top>
      <bottom style="medium">
        <color indexed="59"/>
      </bottom>
      <diagonal/>
    </border>
    <border>
      <left/>
      <right style="medium">
        <color indexed="9"/>
      </right>
      <top style="medium">
        <color indexed="9"/>
      </top>
      <bottom style="medium">
        <color indexed="59"/>
      </bottom>
      <diagonal/>
    </border>
    <border>
      <left style="medium">
        <color indexed="9"/>
      </left>
      <right/>
      <top/>
      <bottom style="medium">
        <color indexed="59"/>
      </bottom>
      <diagonal/>
    </border>
    <border>
      <left style="medium">
        <color indexed="59"/>
      </left>
      <right/>
      <top style="medium">
        <color indexed="59"/>
      </top>
      <bottom style="medium">
        <color indexed="64"/>
      </bottom>
      <diagonal/>
    </border>
    <border>
      <left/>
      <right style="medium">
        <color indexed="59"/>
      </right>
      <top style="medium">
        <color indexed="59"/>
      </top>
      <bottom style="medium">
        <color indexed="64"/>
      </bottom>
      <diagonal/>
    </border>
    <border>
      <left style="medium">
        <color indexed="9"/>
      </left>
      <right/>
      <top/>
      <bottom/>
      <diagonal/>
    </border>
    <border>
      <left style="medium">
        <color indexed="9"/>
      </left>
      <right/>
      <top style="medium">
        <color indexed="9"/>
      </top>
      <bottom style="medium">
        <color indexed="59"/>
      </bottom>
      <diagonal/>
    </border>
    <border>
      <left/>
      <right style="medium">
        <color indexed="59"/>
      </right>
      <top style="medium">
        <color indexed="9"/>
      </top>
      <bottom style="medium">
        <color indexed="59"/>
      </bottom>
      <diagonal/>
    </border>
    <border>
      <left style="medium">
        <color indexed="9"/>
      </left>
      <right/>
      <top/>
      <bottom style="medium">
        <color indexed="9"/>
      </bottom>
      <diagonal/>
    </border>
    <border>
      <left/>
      <right style="medium">
        <color indexed="59"/>
      </right>
      <top/>
      <bottom style="medium">
        <color indexed="9"/>
      </bottom>
      <diagonal/>
    </border>
    <border>
      <left style="medium">
        <color indexed="9"/>
      </left>
      <right style="medium">
        <color theme="3" tint="-0.249977111117893"/>
      </right>
      <top style="medium">
        <color indexed="59"/>
      </top>
      <bottom style="medium">
        <color indexed="59"/>
      </bottom>
      <diagonal/>
    </border>
    <border>
      <left/>
      <right style="medium">
        <color theme="3" tint="-0.249977111117893"/>
      </right>
      <top/>
      <bottom/>
      <diagonal/>
    </border>
    <border>
      <left style="medium">
        <color indexed="59"/>
      </left>
      <right style="medium">
        <color theme="3" tint="-0.249977111117893"/>
      </right>
      <top/>
      <bottom style="medium">
        <color theme="3" tint="-0.249977111117893"/>
      </bottom>
      <diagonal/>
    </border>
    <border>
      <left style="medium">
        <color indexed="59"/>
      </left>
      <right style="medium">
        <color indexed="59"/>
      </right>
      <top/>
      <bottom style="medium">
        <color indexed="64"/>
      </bottom>
      <diagonal/>
    </border>
  </borders>
  <cellStyleXfs count="5">
    <xf numFmtId="0" fontId="0" fillId="0" borderId="0"/>
    <xf numFmtId="0" fontId="4" fillId="0" borderId="0" applyNumberFormat="0" applyFill="0" applyBorder="0" applyAlignment="0" applyProtection="0">
      <alignment vertical="top"/>
      <protection locked="0"/>
    </xf>
    <xf numFmtId="43" fontId="1" fillId="0" borderId="0" applyFont="0" applyFill="0" applyBorder="0" applyAlignment="0" applyProtection="0"/>
    <xf numFmtId="0" fontId="1" fillId="2" borderId="0" applyNumberFormat="0" applyFont="0" applyBorder="0" applyAlignment="0" applyProtection="0"/>
    <xf numFmtId="9" fontId="1" fillId="0" borderId="0" applyFont="0" applyFill="0" applyBorder="0" applyAlignment="0" applyProtection="0"/>
  </cellStyleXfs>
  <cellXfs count="718">
    <xf numFmtId="0" fontId="0" fillId="0" borderId="0" xfId="0"/>
    <xf numFmtId="0" fontId="0" fillId="0" borderId="0" xfId="0" applyBorder="1"/>
    <xf numFmtId="43" fontId="0" fillId="0" borderId="0" xfId="2" quotePrefix="1" applyFont="1" applyBorder="1"/>
    <xf numFmtId="0" fontId="0" fillId="0" borderId="0" xfId="0" quotePrefix="1" applyBorder="1"/>
    <xf numFmtId="43" fontId="0" fillId="0" borderId="0" xfId="2" applyFont="1" applyBorder="1"/>
    <xf numFmtId="0" fontId="0" fillId="0" borderId="0" xfId="0" applyFill="1"/>
    <xf numFmtId="0" fontId="0" fillId="0" borderId="0" xfId="0" applyFill="1" applyBorder="1"/>
    <xf numFmtId="0" fontId="0" fillId="0" borderId="0" xfId="0" quotePrefix="1" applyFill="1" applyBorder="1"/>
    <xf numFmtId="0" fontId="0" fillId="0" borderId="0" xfId="0" applyBorder="1" applyAlignment="1">
      <alignment horizontal="right"/>
    </xf>
    <xf numFmtId="164" fontId="0" fillId="0" borderId="0" xfId="0" applyNumberFormat="1" applyBorder="1"/>
    <xf numFmtId="0" fontId="7" fillId="3" borderId="0" xfId="0" applyFont="1" applyFill="1" applyBorder="1" applyProtection="1"/>
    <xf numFmtId="0" fontId="8" fillId="3" borderId="0" xfId="0" applyFont="1" applyFill="1" applyBorder="1" applyProtection="1"/>
    <xf numFmtId="0" fontId="9" fillId="3" borderId="0" xfId="0" applyFont="1" applyFill="1" applyBorder="1" applyProtection="1"/>
    <xf numFmtId="0" fontId="7" fillId="3" borderId="0" xfId="0" applyFont="1" applyFill="1" applyBorder="1" applyAlignment="1" applyProtection="1">
      <alignment vertical="top"/>
    </xf>
    <xf numFmtId="0" fontId="9" fillId="3" borderId="0" xfId="0" quotePrefix="1" applyFont="1" applyFill="1" applyBorder="1" applyProtection="1"/>
    <xf numFmtId="0" fontId="0" fillId="0" borderId="0" xfId="0" applyAlignment="1">
      <alignment vertical="justify"/>
    </xf>
    <xf numFmtId="0" fontId="0" fillId="0" borderId="0" xfId="0" applyAlignment="1">
      <alignment vertical="top"/>
    </xf>
    <xf numFmtId="0" fontId="0" fillId="0" borderId="1" xfId="0" applyBorder="1"/>
    <xf numFmtId="0" fontId="0" fillId="4" borderId="1" xfId="0" applyFill="1" applyBorder="1"/>
    <xf numFmtId="0" fontId="0" fillId="0" borderId="1" xfId="0" applyFill="1" applyBorder="1"/>
    <xf numFmtId="0" fontId="0" fillId="4" borderId="1" xfId="0" quotePrefix="1" applyFill="1" applyBorder="1"/>
    <xf numFmtId="0" fontId="0" fillId="0" borderId="2" xfId="0" quotePrefix="1" applyFill="1" applyBorder="1"/>
    <xf numFmtId="0" fontId="0" fillId="0" borderId="3" xfId="0" applyBorder="1"/>
    <xf numFmtId="0" fontId="3" fillId="0" borderId="1" xfId="0" applyFont="1" applyBorder="1"/>
    <xf numFmtId="0" fontId="0" fillId="0" borderId="4" xfId="0" applyBorder="1"/>
    <xf numFmtId="0" fontId="0" fillId="4" borderId="4" xfId="0" applyFill="1" applyBorder="1"/>
    <xf numFmtId="0" fontId="0" fillId="0" borderId="4" xfId="0" applyFill="1" applyBorder="1"/>
    <xf numFmtId="0" fontId="0" fillId="0" borderId="5" xfId="0" applyFill="1" applyBorder="1"/>
    <xf numFmtId="0" fontId="12" fillId="5" borderId="6" xfId="0" applyFont="1" applyFill="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0" fillId="0" borderId="1" xfId="0" applyBorder="1" applyAlignment="1">
      <alignment horizontal="center"/>
    </xf>
    <xf numFmtId="0" fontId="0" fillId="4" borderId="1" xfId="0" applyFill="1" applyBorder="1" applyAlignment="1">
      <alignment horizontal="center"/>
    </xf>
    <xf numFmtId="0" fontId="0" fillId="0" borderId="1" xfId="0" applyFill="1" applyBorder="1" applyAlignment="1">
      <alignment horizontal="center"/>
    </xf>
    <xf numFmtId="0" fontId="0" fillId="0" borderId="2" xfId="0" applyFill="1" applyBorder="1" applyAlignment="1">
      <alignment horizontal="center"/>
    </xf>
    <xf numFmtId="2" fontId="0" fillId="4" borderId="1" xfId="0" applyNumberFormat="1" applyFill="1" applyBorder="1" applyAlignment="1">
      <alignment horizontal="center"/>
    </xf>
    <xf numFmtId="166" fontId="0" fillId="0" borderId="2" xfId="2" applyNumberFormat="1" applyFont="1" applyFill="1" applyBorder="1" applyAlignment="1">
      <alignment horizontal="center"/>
    </xf>
    <xf numFmtId="0" fontId="2" fillId="0" borderId="0" xfId="0" applyFont="1"/>
    <xf numFmtId="0" fontId="0" fillId="0" borderId="0" xfId="0" applyFill="1" applyBorder="1" applyAlignment="1">
      <alignment horizontal="center"/>
    </xf>
    <xf numFmtId="166" fontId="0" fillId="0" borderId="0" xfId="2" applyNumberFormat="1" applyFont="1" applyFill="1" applyBorder="1" applyAlignment="1">
      <alignment horizontal="center"/>
    </xf>
    <xf numFmtId="0" fontId="2" fillId="0" borderId="0" xfId="0" applyFont="1" applyFill="1" applyBorder="1"/>
    <xf numFmtId="166" fontId="1" fillId="0" borderId="0" xfId="2" applyNumberFormat="1" applyFill="1" applyBorder="1" applyAlignment="1">
      <alignment horizontal="center"/>
    </xf>
    <xf numFmtId="43" fontId="1" fillId="0" borderId="0" xfId="2" quotePrefix="1" applyBorder="1"/>
    <xf numFmtId="0" fontId="0" fillId="0" borderId="4" xfId="0"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43" fontId="0" fillId="0" borderId="3" xfId="2" quotePrefix="1" applyFont="1" applyBorder="1"/>
    <xf numFmtId="0" fontId="12" fillId="5" borderId="3" xfId="0" applyFont="1" applyFill="1" applyBorder="1" applyAlignment="1">
      <alignment vertical="center"/>
    </xf>
    <xf numFmtId="0" fontId="0" fillId="0" borderId="6" xfId="0" applyBorder="1"/>
    <xf numFmtId="1" fontId="0" fillId="0" borderId="10" xfId="0" applyNumberFormat="1" applyBorder="1"/>
    <xf numFmtId="0" fontId="12" fillId="5" borderId="7" xfId="0" applyFont="1" applyFill="1" applyBorder="1" applyAlignment="1">
      <alignment vertical="center"/>
    </xf>
    <xf numFmtId="0" fontId="12" fillId="5" borderId="11" xfId="0" applyFont="1" applyFill="1" applyBorder="1" applyAlignment="1">
      <alignment vertical="center"/>
    </xf>
    <xf numFmtId="0" fontId="0" fillId="0" borderId="12" xfId="0" applyBorder="1"/>
    <xf numFmtId="0" fontId="12" fillId="5" borderId="8" xfId="0" applyFont="1" applyFill="1" applyBorder="1" applyAlignment="1">
      <alignment vertical="center"/>
    </xf>
    <xf numFmtId="0" fontId="0" fillId="4" borderId="5" xfId="0" applyFill="1" applyBorder="1"/>
    <xf numFmtId="0" fontId="0" fillId="4" borderId="2" xfId="0" applyFill="1" applyBorder="1" applyAlignment="1">
      <alignment horizontal="center"/>
    </xf>
    <xf numFmtId="1" fontId="0" fillId="4" borderId="2" xfId="0" quotePrefix="1" applyNumberFormat="1" applyFill="1" applyBorder="1"/>
    <xf numFmtId="1" fontId="0" fillId="4" borderId="2" xfId="0" applyNumberFormat="1" applyFill="1" applyBorder="1" applyAlignment="1">
      <alignment horizontal="center"/>
    </xf>
    <xf numFmtId="0" fontId="0" fillId="4" borderId="2" xfId="0" quotePrefix="1" applyFill="1" applyBorder="1"/>
    <xf numFmtId="0" fontId="8" fillId="0" borderId="0" xfId="0" applyFont="1" applyFill="1" applyBorder="1" applyProtection="1"/>
    <xf numFmtId="0" fontId="0" fillId="3" borderId="0" xfId="0" applyFill="1"/>
    <xf numFmtId="0" fontId="7" fillId="3" borderId="0" xfId="0" applyFont="1" applyFill="1" applyBorder="1" applyAlignment="1" applyProtection="1">
      <alignment vertical="center"/>
    </xf>
    <xf numFmtId="0" fontId="0" fillId="0" borderId="0" xfId="0" applyAlignment="1">
      <alignment wrapText="1"/>
    </xf>
    <xf numFmtId="0" fontId="12" fillId="5" borderId="13" xfId="0" applyFont="1" applyFill="1" applyBorder="1" applyAlignment="1">
      <alignment horizontal="center" vertical="center"/>
    </xf>
    <xf numFmtId="166" fontId="0" fillId="4" borderId="4" xfId="2" quotePrefix="1" applyNumberFormat="1" applyFont="1" applyFill="1" applyBorder="1"/>
    <xf numFmtId="166" fontId="0" fillId="0" borderId="5" xfId="2" applyNumberFormat="1" applyFont="1" applyFill="1" applyBorder="1"/>
    <xf numFmtId="0" fontId="12" fillId="5" borderId="14" xfId="0" applyFont="1" applyFill="1" applyBorder="1" applyAlignment="1">
      <alignment horizontal="left"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2" fillId="0" borderId="0" xfId="0" applyFont="1" applyBorder="1"/>
    <xf numFmtId="0" fontId="12" fillId="5" borderId="0" xfId="0" applyFont="1" applyFill="1" applyBorder="1"/>
    <xf numFmtId="0" fontId="12" fillId="5" borderId="4" xfId="0" applyFont="1" applyFill="1" applyBorder="1"/>
    <xf numFmtId="0" fontId="0" fillId="0" borderId="4" xfId="0" applyBorder="1" applyAlignment="1">
      <alignment horizontal="left" indent="1"/>
    </xf>
    <xf numFmtId="0" fontId="0" fillId="4" borderId="4" xfId="0" applyFill="1" applyBorder="1" applyAlignment="1">
      <alignment horizontal="left" indent="1"/>
    </xf>
    <xf numFmtId="0" fontId="0" fillId="0" borderId="2" xfId="0" applyBorder="1"/>
    <xf numFmtId="0" fontId="0" fillId="0" borderId="4" xfId="0" quotePrefix="1" applyBorder="1"/>
    <xf numFmtId="0" fontId="0" fillId="4" borderId="4" xfId="0" quotePrefix="1" applyFill="1" applyBorder="1"/>
    <xf numFmtId="0" fontId="0" fillId="0" borderId="5" xfId="0" quotePrefix="1" applyBorder="1"/>
    <xf numFmtId="0" fontId="12" fillId="5" borderId="17" xfId="0" applyFont="1" applyFill="1" applyBorder="1" applyAlignment="1">
      <alignment vertical="center"/>
    </xf>
    <xf numFmtId="0" fontId="0" fillId="0" borderId="2"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0" fontId="0" fillId="4" borderId="0" xfId="0" applyFill="1" applyBorder="1" applyAlignment="1">
      <alignment horizontal="center"/>
    </xf>
    <xf numFmtId="0" fontId="2" fillId="0" borderId="5" xfId="0" applyFont="1" applyBorder="1" applyAlignment="1">
      <alignment horizontal="left" indent="1"/>
    </xf>
    <xf numFmtId="0" fontId="0" fillId="0" borderId="18" xfId="0" applyBorder="1"/>
    <xf numFmtId="0" fontId="0" fillId="0" borderId="19" xfId="0" applyBorder="1" applyAlignment="1">
      <alignment horizont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2" fillId="5" borderId="22" xfId="0" applyFont="1" applyFill="1" applyBorder="1" applyAlignment="1">
      <alignment horizontal="center" vertical="center"/>
    </xf>
    <xf numFmtId="0" fontId="12" fillId="5" borderId="18" xfId="0" applyFont="1" applyFill="1" applyBorder="1" applyAlignment="1">
      <alignment horizontal="center" vertical="center"/>
    </xf>
    <xf numFmtId="0" fontId="2" fillId="0" borderId="3" xfId="0" applyFont="1" applyBorder="1" applyAlignment="1">
      <alignment horizontal="center"/>
    </xf>
    <xf numFmtId="0" fontId="2" fillId="0" borderId="5" xfId="0" applyFont="1" applyBorder="1" applyAlignment="1">
      <alignment horizontal="center"/>
    </xf>
    <xf numFmtId="0" fontId="14" fillId="5" borderId="23" xfId="0" applyFont="1" applyFill="1" applyBorder="1"/>
    <xf numFmtId="0" fontId="0" fillId="0" borderId="1" xfId="0" applyBorder="1" applyAlignment="1">
      <alignment horizontal="left"/>
    </xf>
    <xf numFmtId="0" fontId="0" fillId="0" borderId="4" xfId="0" applyBorder="1" applyAlignment="1">
      <alignment horizontal="left"/>
    </xf>
    <xf numFmtId="0" fontId="0" fillId="0" borderId="0" xfId="0" applyBorder="1" applyAlignment="1" applyProtection="1">
      <protection locked="0"/>
    </xf>
    <xf numFmtId="49" fontId="0" fillId="0" borderId="0" xfId="0" applyNumberFormat="1" applyBorder="1" applyAlignment="1">
      <alignment horizontal="center"/>
    </xf>
    <xf numFmtId="0" fontId="12" fillId="5" borderId="0" xfId="0" quotePrefix="1" applyFont="1" applyFill="1" applyBorder="1"/>
    <xf numFmtId="0" fontId="0" fillId="4" borderId="24" xfId="0" applyFill="1" applyBorder="1"/>
    <xf numFmtId="0" fontId="0" fillId="0" borderId="3" xfId="0" quotePrefix="1" applyBorder="1"/>
    <xf numFmtId="0" fontId="12" fillId="5" borderId="6" xfId="0" applyFont="1" applyFill="1" applyBorder="1"/>
    <xf numFmtId="0" fontId="12" fillId="5" borderId="25" xfId="0" quotePrefix="1" applyFont="1" applyFill="1" applyBorder="1"/>
    <xf numFmtId="0" fontId="12" fillId="5" borderId="10" xfId="0" applyFont="1" applyFill="1" applyBorder="1"/>
    <xf numFmtId="0" fontId="13" fillId="5" borderId="19" xfId="0" applyFont="1" applyFill="1" applyBorder="1" applyAlignment="1">
      <alignment horizontal="right"/>
    </xf>
    <xf numFmtId="164" fontId="0" fillId="0" borderId="0" xfId="0" quotePrefix="1" applyNumberFormat="1" applyBorder="1"/>
    <xf numFmtId="167" fontId="0" fillId="0" borderId="4" xfId="0" quotePrefix="1" applyNumberFormat="1" applyBorder="1" applyAlignment="1">
      <alignment horizontal="center" vertical="center"/>
    </xf>
    <xf numFmtId="0" fontId="12" fillId="5" borderId="9" xfId="0" quotePrefix="1" applyFont="1" applyFill="1" applyBorder="1"/>
    <xf numFmtId="164" fontId="12" fillId="5" borderId="25" xfId="0" applyNumberFormat="1" applyFont="1" applyFill="1" applyBorder="1" applyAlignment="1">
      <alignment horizontal="center"/>
    </xf>
    <xf numFmtId="167" fontId="0" fillId="0" borderId="0" xfId="0" applyNumberFormat="1" applyBorder="1" applyAlignment="1">
      <alignment horizontal="center"/>
    </xf>
    <xf numFmtId="0" fontId="12" fillId="5" borderId="25" xfId="0" applyFont="1" applyFill="1" applyBorder="1"/>
    <xf numFmtId="0" fontId="0" fillId="4" borderId="0" xfId="0" quotePrefix="1" applyFill="1"/>
    <xf numFmtId="0" fontId="0" fillId="0" borderId="0" xfId="0" quotePrefix="1" applyAlignment="1">
      <alignment horizontal="left" vertical="center"/>
    </xf>
    <xf numFmtId="165" fontId="0" fillId="0" borderId="4" xfId="0" quotePrefix="1" applyNumberFormat="1" applyBorder="1" applyAlignment="1">
      <alignment horizontal="center" vertical="center"/>
    </xf>
    <xf numFmtId="0" fontId="12" fillId="5" borderId="24" xfId="0" applyFont="1" applyFill="1" applyBorder="1"/>
    <xf numFmtId="0" fontId="12" fillId="5" borderId="3" xfId="0" quotePrefix="1" applyFont="1" applyFill="1" applyBorder="1"/>
    <xf numFmtId="167" fontId="12" fillId="5" borderId="26" xfId="0" applyNumberFormat="1" applyFont="1" applyFill="1" applyBorder="1" applyAlignment="1">
      <alignment horizontal="center"/>
    </xf>
    <xf numFmtId="0" fontId="2" fillId="0" borderId="0" xfId="0" applyFont="1" applyBorder="1" applyAlignment="1">
      <alignment horizontal="left" indent="1"/>
    </xf>
    <xf numFmtId="0" fontId="2" fillId="0" borderId="0" xfId="0" applyFont="1" applyBorder="1" applyAlignment="1">
      <alignment horizontal="center"/>
    </xf>
    <xf numFmtId="0" fontId="13" fillId="5" borderId="10" xfId="0" applyFont="1" applyFill="1" applyBorder="1" applyAlignment="1">
      <alignment horizontal="right"/>
    </xf>
    <xf numFmtId="0" fontId="12" fillId="0" borderId="0" xfId="0" applyFont="1" applyFill="1" applyBorder="1"/>
    <xf numFmtId="0" fontId="12" fillId="0" borderId="0" xfId="0" quotePrefix="1" applyFont="1" applyFill="1" applyBorder="1"/>
    <xf numFmtId="167" fontId="12" fillId="0" borderId="0" xfId="0" applyNumberFormat="1" applyFont="1" applyFill="1" applyBorder="1" applyAlignment="1">
      <alignment horizontal="center"/>
    </xf>
    <xf numFmtId="167" fontId="12" fillId="5" borderId="27" xfId="0" applyNumberFormat="1" applyFont="1" applyFill="1" applyBorder="1" applyAlignment="1">
      <alignment horizontal="center"/>
    </xf>
    <xf numFmtId="0" fontId="12" fillId="5" borderId="23" xfId="0" quotePrefix="1" applyFont="1" applyFill="1" applyBorder="1"/>
    <xf numFmtId="165" fontId="2" fillId="0" borderId="4" xfId="0" quotePrefix="1" applyNumberFormat="1" applyFont="1" applyBorder="1" applyAlignment="1">
      <alignment horizontal="center" vertical="center"/>
    </xf>
    <xf numFmtId="0" fontId="6" fillId="0" borderId="24" xfId="0" applyFont="1" applyFill="1" applyBorder="1"/>
    <xf numFmtId="0" fontId="6" fillId="0" borderId="3" xfId="0" quotePrefix="1" applyFont="1" applyFill="1" applyBorder="1"/>
    <xf numFmtId="167" fontId="6" fillId="0" borderId="5" xfId="0" applyNumberFormat="1" applyFont="1" applyFill="1" applyBorder="1" applyAlignment="1">
      <alignment horizontal="center"/>
    </xf>
    <xf numFmtId="0" fontId="0" fillId="0" borderId="0" xfId="0" quotePrefix="1"/>
    <xf numFmtId="2" fontId="0" fillId="0" borderId="0" xfId="0" applyNumberFormat="1"/>
    <xf numFmtId="0" fontId="0" fillId="0" borderId="28" xfId="0" applyBorder="1" applyAlignment="1">
      <alignment horizontal="center"/>
    </xf>
    <xf numFmtId="0" fontId="0" fillId="0" borderId="29" xfId="0" applyBorder="1" applyAlignment="1">
      <alignment horizontal="center"/>
    </xf>
    <xf numFmtId="0" fontId="12" fillId="5" borderId="30" xfId="0" applyFont="1" applyFill="1" applyBorder="1" applyAlignment="1">
      <alignment horizontal="center"/>
    </xf>
    <xf numFmtId="0" fontId="12" fillId="5" borderId="31" xfId="0" applyFont="1" applyFill="1" applyBorder="1" applyAlignment="1">
      <alignment horizontal="center"/>
    </xf>
    <xf numFmtId="0" fontId="2" fillId="0" borderId="0" xfId="0" applyFont="1" applyAlignment="1">
      <alignment horizontal="center"/>
    </xf>
    <xf numFmtId="2" fontId="0" fillId="0" borderId="1" xfId="0" applyNumberFormat="1" applyBorder="1"/>
    <xf numFmtId="2" fontId="0" fillId="4" borderId="1" xfId="0" applyNumberFormat="1" applyFill="1" applyBorder="1"/>
    <xf numFmtId="0" fontId="0" fillId="4" borderId="4" xfId="0" applyFill="1" applyBorder="1" applyAlignment="1">
      <alignment horizontal="left"/>
    </xf>
    <xf numFmtId="0" fontId="12" fillId="5" borderId="32" xfId="0" applyFont="1" applyFill="1" applyBorder="1" applyAlignment="1">
      <alignment horizontal="center"/>
    </xf>
    <xf numFmtId="0" fontId="12" fillId="5" borderId="33" xfId="0" applyFont="1" applyFill="1" applyBorder="1" applyAlignment="1">
      <alignment horizontal="center"/>
    </xf>
    <xf numFmtId="0" fontId="6" fillId="4" borderId="4" xfId="0" applyFont="1" applyFill="1" applyBorder="1" applyAlignment="1">
      <alignment horizontal="left"/>
    </xf>
    <xf numFmtId="0" fontId="0" fillId="0" borderId="5" xfId="0" applyFill="1" applyBorder="1" applyAlignment="1">
      <alignment horizontal="left"/>
    </xf>
    <xf numFmtId="0" fontId="0" fillId="0" borderId="1" xfId="4" applyNumberFormat="1" applyFont="1" applyBorder="1"/>
    <xf numFmtId="0" fontId="0" fillId="0" borderId="0" xfId="0" applyAlignment="1"/>
    <xf numFmtId="0" fontId="2" fillId="0" borderId="0" xfId="0" applyFont="1" applyAlignment="1">
      <alignment horizontal="center" vertical="center"/>
    </xf>
    <xf numFmtId="0" fontId="0" fillId="0" borderId="0" xfId="0" quotePrefix="1" applyAlignment="1">
      <alignment vertical="center"/>
    </xf>
    <xf numFmtId="0" fontId="0" fillId="0" borderId="4" xfId="0" applyFill="1" applyBorder="1" applyAlignment="1">
      <alignment horizontal="left"/>
    </xf>
    <xf numFmtId="0" fontId="6" fillId="4" borderId="5" xfId="0" applyFont="1" applyFill="1" applyBorder="1" applyAlignment="1">
      <alignment horizontal="left"/>
    </xf>
    <xf numFmtId="0" fontId="0" fillId="4" borderId="3" xfId="0" applyFill="1" applyBorder="1"/>
    <xf numFmtId="2" fontId="0" fillId="0" borderId="0" xfId="0" quotePrefix="1" applyNumberFormat="1"/>
    <xf numFmtId="168" fontId="0" fillId="0" borderId="0" xfId="4" quotePrefix="1" applyNumberFormat="1" applyFont="1"/>
    <xf numFmtId="0" fontId="0" fillId="0" borderId="12" xfId="0" quotePrefix="1" applyBorder="1"/>
    <xf numFmtId="0" fontId="0" fillId="4" borderId="3" xfId="0" applyFill="1" applyBorder="1" applyAlignment="1">
      <alignment horizontal="center"/>
    </xf>
    <xf numFmtId="0" fontId="0" fillId="0" borderId="0" xfId="0" applyBorder="1" applyAlignment="1"/>
    <xf numFmtId="0" fontId="0" fillId="0" borderId="0" xfId="0" applyFill="1" applyAlignment="1">
      <alignment wrapText="1"/>
    </xf>
    <xf numFmtId="0" fontId="0" fillId="0" borderId="0" xfId="0" applyBorder="1" applyAlignment="1">
      <alignment horizontal="left"/>
    </xf>
    <xf numFmtId="0" fontId="0" fillId="4" borderId="0" xfId="0" applyFill="1" applyBorder="1" applyAlignment="1"/>
    <xf numFmtId="0" fontId="0" fillId="4" borderId="0" xfId="0" applyFill="1" applyBorder="1" applyAlignment="1">
      <alignment horizontal="left"/>
    </xf>
    <xf numFmtId="0" fontId="0" fillId="4" borderId="24" xfId="0" applyFill="1" applyBorder="1" applyAlignment="1">
      <alignment horizontal="left"/>
    </xf>
    <xf numFmtId="0" fontId="0" fillId="4" borderId="3" xfId="0" applyFill="1" applyBorder="1" applyAlignment="1"/>
    <xf numFmtId="0" fontId="0" fillId="4" borderId="1" xfId="0" applyFill="1" applyBorder="1" applyAlignment="1"/>
    <xf numFmtId="0" fontId="0" fillId="0" borderId="1" xfId="0" applyBorder="1" applyAlignment="1"/>
    <xf numFmtId="0" fontId="0" fillId="4" borderId="2" xfId="0" applyFill="1" applyBorder="1" applyAlignment="1"/>
    <xf numFmtId="0" fontId="2" fillId="0" borderId="1" xfId="0" applyFont="1" applyBorder="1"/>
    <xf numFmtId="165" fontId="6" fillId="0" borderId="0" xfId="0" applyNumberFormat="1" applyFont="1" applyBorder="1"/>
    <xf numFmtId="165" fontId="6" fillId="0" borderId="1" xfId="0" applyNumberFormat="1" applyFont="1" applyBorder="1"/>
    <xf numFmtId="0" fontId="22" fillId="0" borderId="1" xfId="0" applyFont="1" applyBorder="1" applyAlignment="1">
      <alignment horizontal="center"/>
    </xf>
    <xf numFmtId="0" fontId="23" fillId="0" borderId="4" xfId="0" applyFont="1" applyBorder="1" applyAlignment="1">
      <alignment horizontal="center"/>
    </xf>
    <xf numFmtId="0" fontId="0" fillId="0" borderId="3" xfId="0" applyBorder="1" applyAlignment="1"/>
    <xf numFmtId="0" fontId="0" fillId="0" borderId="3" xfId="0" applyFill="1" applyBorder="1" applyAlignment="1">
      <alignment wrapText="1"/>
    </xf>
    <xf numFmtId="0" fontId="12" fillId="5" borderId="10" xfId="0" applyFont="1" applyFill="1" applyBorder="1" applyAlignment="1">
      <alignment horizontal="center" wrapText="1"/>
    </xf>
    <xf numFmtId="0" fontId="23" fillId="4" borderId="4" xfId="0" applyFont="1" applyFill="1" applyBorder="1" applyAlignment="1">
      <alignment horizontal="center"/>
    </xf>
    <xf numFmtId="165" fontId="6" fillId="4" borderId="0" xfId="0" applyNumberFormat="1" applyFont="1" applyFill="1" applyBorder="1"/>
    <xf numFmtId="165" fontId="6" fillId="4" borderId="1" xfId="0" applyNumberFormat="1" applyFont="1" applyFill="1" applyBorder="1"/>
    <xf numFmtId="0" fontId="23" fillId="4" borderId="5" xfId="0" applyFont="1" applyFill="1" applyBorder="1" applyAlignment="1">
      <alignment horizontal="center"/>
    </xf>
    <xf numFmtId="165" fontId="6" fillId="4" borderId="3" xfId="0" applyNumberFormat="1" applyFont="1" applyFill="1" applyBorder="1"/>
    <xf numFmtId="165" fontId="6" fillId="4" borderId="2" xfId="0" applyNumberFormat="1" applyFont="1" applyFill="1" applyBorder="1"/>
    <xf numFmtId="0" fontId="23" fillId="0" borderId="4" xfId="0" applyFont="1" applyFill="1" applyBorder="1" applyAlignment="1">
      <alignment horizontal="center"/>
    </xf>
    <xf numFmtId="165" fontId="6" fillId="0" borderId="0" xfId="0" applyNumberFormat="1" applyFont="1" applyFill="1" applyBorder="1"/>
    <xf numFmtId="165" fontId="6" fillId="0" borderId="1" xfId="0" applyNumberFormat="1" applyFont="1" applyFill="1" applyBorder="1"/>
    <xf numFmtId="0" fontId="23" fillId="4" borderId="9" xfId="0" applyFont="1" applyFill="1" applyBorder="1" applyAlignment="1">
      <alignment horizontal="center"/>
    </xf>
    <xf numFmtId="0" fontId="23" fillId="4" borderId="25" xfId="0" applyFont="1" applyFill="1" applyBorder="1" applyAlignment="1">
      <alignment horizontal="center"/>
    </xf>
    <xf numFmtId="0" fontId="23" fillId="4" borderId="10" xfId="0" applyFont="1" applyFill="1" applyBorder="1" applyAlignment="1">
      <alignment horizontal="center"/>
    </xf>
    <xf numFmtId="165" fontId="6" fillId="0" borderId="4" xfId="0" applyNumberFormat="1" applyFont="1" applyBorder="1"/>
    <xf numFmtId="165" fontId="6" fillId="4" borderId="4" xfId="0" applyNumberFormat="1" applyFont="1" applyFill="1" applyBorder="1"/>
    <xf numFmtId="165" fontId="6" fillId="0" borderId="4" xfId="0" applyNumberFormat="1" applyFont="1" applyFill="1" applyBorder="1"/>
    <xf numFmtId="165" fontId="6" fillId="4" borderId="5" xfId="0" applyNumberFormat="1" applyFont="1" applyFill="1" applyBorder="1"/>
    <xf numFmtId="165" fontId="6" fillId="0" borderId="19" xfId="0" applyNumberFormat="1" applyFont="1" applyBorder="1"/>
    <xf numFmtId="0" fontId="0" fillId="0" borderId="0" xfId="0" applyFill="1" applyAlignment="1"/>
    <xf numFmtId="0" fontId="0" fillId="0" borderId="34" xfId="0" applyBorder="1"/>
    <xf numFmtId="0" fontId="12" fillId="5" borderId="35" xfId="0" applyFont="1" applyFill="1" applyBorder="1" applyAlignment="1">
      <alignment horizontal="center"/>
    </xf>
    <xf numFmtId="0" fontId="0" fillId="0" borderId="36" xfId="0" applyBorder="1"/>
    <xf numFmtId="0" fontId="12" fillId="5" borderId="37" xfId="0" applyFont="1" applyFill="1" applyBorder="1" applyAlignment="1">
      <alignment horizontal="center"/>
    </xf>
    <xf numFmtId="0" fontId="0" fillId="0" borderId="0" xfId="0" applyFill="1" applyBorder="1" applyAlignment="1">
      <alignment horizontal="left"/>
    </xf>
    <xf numFmtId="0" fontId="0" fillId="0" borderId="0" xfId="4" applyNumberFormat="1" applyFont="1" applyFill="1" applyBorder="1"/>
    <xf numFmtId="0" fontId="6" fillId="0" borderId="0" xfId="0" applyFont="1" applyFill="1" applyBorder="1" applyAlignment="1">
      <alignment horizontal="left"/>
    </xf>
    <xf numFmtId="0" fontId="0" fillId="4" borderId="38" xfId="0" applyFill="1" applyBorder="1" applyAlignment="1">
      <alignment horizontal="left"/>
    </xf>
    <xf numFmtId="2" fontId="0" fillId="4" borderId="39" xfId="0" applyNumberFormat="1" applyFill="1" applyBorder="1"/>
    <xf numFmtId="0" fontId="6" fillId="0" borderId="0" xfId="0" applyFont="1"/>
    <xf numFmtId="0" fontId="0" fillId="0" borderId="40" xfId="0" applyBorder="1"/>
    <xf numFmtId="1" fontId="0" fillId="0" borderId="40" xfId="0" applyNumberFormat="1" applyFill="1" applyBorder="1" applyAlignment="1">
      <alignment horizontal="center"/>
    </xf>
    <xf numFmtId="1" fontId="0" fillId="4" borderId="40" xfId="0" applyNumberFormat="1" applyFill="1" applyBorder="1" applyAlignment="1">
      <alignment horizontal="center"/>
    </xf>
    <xf numFmtId="1" fontId="0" fillId="0" borderId="41" xfId="0" applyNumberFormat="1" applyFill="1" applyBorder="1" applyAlignment="1">
      <alignment horizontal="center"/>
    </xf>
    <xf numFmtId="1" fontId="12" fillId="5" borderId="42" xfId="0" applyNumberFormat="1" applyFont="1" applyFill="1" applyBorder="1" applyAlignment="1">
      <alignment horizontal="center"/>
    </xf>
    <xf numFmtId="1" fontId="0" fillId="0" borderId="43" xfId="0" applyNumberFormat="1" applyFill="1" applyBorder="1" applyAlignment="1">
      <alignment horizontal="center"/>
    </xf>
    <xf numFmtId="1" fontId="0" fillId="4" borderId="43" xfId="0" applyNumberFormat="1" applyFill="1" applyBorder="1" applyAlignment="1">
      <alignment horizontal="center"/>
    </xf>
    <xf numFmtId="1" fontId="0" fillId="0" borderId="44" xfId="0" applyNumberFormat="1" applyFill="1" applyBorder="1" applyAlignment="1">
      <alignment horizontal="center"/>
    </xf>
    <xf numFmtId="1" fontId="12" fillId="5" borderId="45" xfId="0" applyNumberFormat="1" applyFont="1" applyFill="1" applyBorder="1" applyAlignment="1">
      <alignment horizontal="center"/>
    </xf>
    <xf numFmtId="1" fontId="12" fillId="5" borderId="46" xfId="0" applyNumberFormat="1" applyFont="1" applyFill="1" applyBorder="1" applyAlignment="1">
      <alignment horizontal="center"/>
    </xf>
    <xf numFmtId="0" fontId="12" fillId="5" borderId="6" xfId="0" applyFont="1" applyFill="1" applyBorder="1" applyAlignment="1">
      <alignment horizontal="center"/>
    </xf>
    <xf numFmtId="0" fontId="12" fillId="5" borderId="9" xfId="0" applyFont="1" applyFill="1" applyBorder="1" applyAlignment="1">
      <alignment horizontal="center"/>
    </xf>
    <xf numFmtId="0" fontId="6" fillId="0" borderId="4" xfId="0" applyFont="1" applyFill="1" applyBorder="1" applyAlignment="1"/>
    <xf numFmtId="0" fontId="6" fillId="4" borderId="4" xfId="0" applyFont="1" applyFill="1" applyBorder="1" applyAlignment="1"/>
    <xf numFmtId="0" fontId="6" fillId="0" borderId="5" xfId="0" applyFont="1" applyFill="1" applyBorder="1" applyAlignment="1"/>
    <xf numFmtId="0" fontId="6" fillId="0" borderId="3" xfId="0" applyFont="1" applyBorder="1"/>
    <xf numFmtId="0" fontId="12" fillId="5" borderId="6"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7" xfId="0" applyFont="1" applyFill="1" applyBorder="1" applyAlignment="1">
      <alignment horizontal="center"/>
    </xf>
    <xf numFmtId="0" fontId="12" fillId="5" borderId="8" xfId="0" applyFont="1" applyFill="1" applyBorder="1" applyAlignment="1">
      <alignment horizontal="center"/>
    </xf>
    <xf numFmtId="0" fontId="12" fillId="5" borderId="27" xfId="0" applyFont="1" applyFill="1" applyBorder="1" applyAlignment="1">
      <alignment horizontal="center"/>
    </xf>
    <xf numFmtId="0" fontId="12" fillId="5" borderId="7" xfId="0" applyFont="1" applyFill="1" applyBorder="1" applyAlignment="1">
      <alignment horizontal="center" vertical="center" wrapText="1"/>
    </xf>
    <xf numFmtId="0" fontId="12" fillId="5" borderId="27"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2" fillId="0" borderId="3" xfId="0" applyFont="1" applyBorder="1"/>
    <xf numFmtId="0" fontId="6" fillId="0" borderId="4" xfId="0" applyFont="1" applyFill="1" applyBorder="1" applyAlignment="1">
      <alignment horizontal="left" vertical="center" wrapText="1"/>
    </xf>
    <xf numFmtId="0" fontId="6" fillId="0" borderId="1" xfId="0" applyFont="1" applyBorder="1" applyAlignment="1">
      <alignment vertical="center"/>
    </xf>
    <xf numFmtId="0" fontId="6" fillId="0" borderId="0" xfId="0" applyFont="1" applyAlignment="1">
      <alignment vertical="center"/>
    </xf>
    <xf numFmtId="0" fontId="6" fillId="0" borderId="4" xfId="0" applyFont="1" applyBorder="1" applyAlignment="1">
      <alignment vertical="center"/>
    </xf>
    <xf numFmtId="0" fontId="12" fillId="5" borderId="24" xfId="0" applyFont="1" applyFill="1" applyBorder="1" applyAlignment="1">
      <alignment vertical="center"/>
    </xf>
    <xf numFmtId="2" fontId="6" fillId="4" borderId="1" xfId="0" applyNumberFormat="1"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169" fontId="6" fillId="4" borderId="4" xfId="0" applyNumberFormat="1" applyFont="1" applyFill="1" applyBorder="1" applyAlignment="1">
      <alignment horizontal="center" vertical="center"/>
    </xf>
    <xf numFmtId="2" fontId="6" fillId="4" borderId="4" xfId="0" applyNumberFormat="1" applyFont="1" applyFill="1" applyBorder="1" applyAlignment="1">
      <alignment horizontal="center" vertical="center"/>
    </xf>
    <xf numFmtId="2" fontId="6" fillId="0" borderId="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xf>
    <xf numFmtId="2" fontId="12" fillId="5" borderId="47" xfId="0" applyNumberFormat="1" applyFont="1" applyFill="1" applyBorder="1" applyAlignment="1">
      <alignment horizontal="center" vertical="center"/>
    </xf>
    <xf numFmtId="1" fontId="12" fillId="5" borderId="47" xfId="0" applyNumberFormat="1" applyFont="1" applyFill="1" applyBorder="1" applyAlignment="1">
      <alignment horizontal="center" vertical="center"/>
    </xf>
    <xf numFmtId="2" fontId="12" fillId="5" borderId="8" xfId="0" applyNumberFormat="1" applyFont="1" applyFill="1" applyBorder="1" applyAlignment="1">
      <alignment horizontal="center" vertical="center"/>
    </xf>
    <xf numFmtId="2" fontId="12" fillId="5" borderId="26" xfId="0" applyNumberFormat="1" applyFont="1" applyFill="1" applyBorder="1" applyAlignment="1">
      <alignment horizontal="center" vertical="center"/>
    </xf>
    <xf numFmtId="0" fontId="6" fillId="4" borderId="4" xfId="0" quotePrefix="1" applyFont="1" applyFill="1" applyBorder="1" applyAlignment="1">
      <alignment horizontal="left" vertical="center" wrapText="1"/>
    </xf>
    <xf numFmtId="0" fontId="6" fillId="0" borderId="4" xfId="0" quotePrefix="1" applyFont="1" applyFill="1" applyBorder="1" applyAlignment="1">
      <alignment horizontal="left" vertical="center" wrapText="1"/>
    </xf>
    <xf numFmtId="0" fontId="6" fillId="0" borderId="4" xfId="0" applyFont="1" applyFill="1" applyBorder="1" applyAlignment="1">
      <alignment horizontal="center"/>
    </xf>
    <xf numFmtId="1" fontId="6" fillId="0" borderId="4" xfId="0" applyNumberFormat="1" applyFont="1" applyFill="1" applyBorder="1" applyAlignment="1">
      <alignment horizontal="center"/>
    </xf>
    <xf numFmtId="170" fontId="6" fillId="0" borderId="4" xfId="0" applyNumberFormat="1" applyFont="1" applyFill="1" applyBorder="1" applyAlignment="1">
      <alignment horizontal="center"/>
    </xf>
    <xf numFmtId="0" fontId="6" fillId="0" borderId="1" xfId="0" applyFont="1" applyFill="1" applyBorder="1" applyAlignment="1">
      <alignment horizontal="center"/>
    </xf>
    <xf numFmtId="0" fontId="6" fillId="4" borderId="4" xfId="0" applyFont="1" applyFill="1" applyBorder="1" applyAlignment="1">
      <alignment horizontal="center"/>
    </xf>
    <xf numFmtId="1" fontId="6" fillId="4" borderId="4" xfId="0" applyNumberFormat="1" applyFont="1" applyFill="1" applyBorder="1" applyAlignment="1">
      <alignment horizontal="center"/>
    </xf>
    <xf numFmtId="170" fontId="6" fillId="4" borderId="4" xfId="0" applyNumberFormat="1" applyFont="1" applyFill="1" applyBorder="1" applyAlignment="1">
      <alignment horizontal="center"/>
    </xf>
    <xf numFmtId="0" fontId="6" fillId="4" borderId="1" xfId="0" applyFont="1" applyFill="1" applyBorder="1" applyAlignment="1">
      <alignment horizontal="center"/>
    </xf>
    <xf numFmtId="0" fontId="6" fillId="0" borderId="5" xfId="0" applyFont="1" applyFill="1" applyBorder="1" applyAlignment="1">
      <alignment horizontal="center"/>
    </xf>
    <xf numFmtId="1" fontId="6" fillId="0" borderId="5" xfId="0" applyNumberFormat="1" applyFont="1" applyFill="1" applyBorder="1" applyAlignment="1">
      <alignment horizontal="center"/>
    </xf>
    <xf numFmtId="170" fontId="6" fillId="0" borderId="5" xfId="0" applyNumberFormat="1" applyFont="1" applyFill="1" applyBorder="1" applyAlignment="1">
      <alignment horizontal="center"/>
    </xf>
    <xf numFmtId="0" fontId="6" fillId="0" borderId="2" xfId="0" applyFont="1" applyFill="1" applyBorder="1" applyAlignment="1">
      <alignment horizontal="center"/>
    </xf>
    <xf numFmtId="2" fontId="6" fillId="0" borderId="1" xfId="0" quotePrefix="1" applyNumberFormat="1" applyFont="1" applyFill="1" applyBorder="1" applyAlignment="1">
      <alignment horizontal="center" vertical="center"/>
    </xf>
    <xf numFmtId="2" fontId="2" fillId="4" borderId="1" xfId="0" applyNumberFormat="1" applyFont="1" applyFill="1" applyBorder="1" applyAlignment="1">
      <alignment horizontal="center" vertical="center"/>
    </xf>
    <xf numFmtId="0" fontId="0" fillId="4" borderId="0" xfId="0" applyFill="1" applyBorder="1"/>
    <xf numFmtId="0" fontId="24" fillId="0" borderId="0" xfId="0" applyFont="1"/>
    <xf numFmtId="0" fontId="0" fillId="4" borderId="2" xfId="0" applyFill="1" applyBorder="1" applyAlignment="1">
      <alignment horizontal="right"/>
    </xf>
    <xf numFmtId="0" fontId="12" fillId="5" borderId="24" xfId="0" applyFont="1" applyFill="1" applyBorder="1" applyAlignment="1">
      <alignment horizontal="left"/>
    </xf>
    <xf numFmtId="0" fontId="0" fillId="0" borderId="48" xfId="0" applyBorder="1"/>
    <xf numFmtId="0" fontId="12" fillId="5" borderId="2" xfId="0" applyFont="1" applyFill="1" applyBorder="1" applyAlignment="1"/>
    <xf numFmtId="0" fontId="2" fillId="0" borderId="10" xfId="0" applyFont="1" applyBorder="1"/>
    <xf numFmtId="0" fontId="0" fillId="4" borderId="10" xfId="0" applyFill="1" applyBorder="1" applyAlignment="1"/>
    <xf numFmtId="0" fontId="0" fillId="0" borderId="10" xfId="0" applyBorder="1" applyAlignment="1"/>
    <xf numFmtId="0" fontId="12" fillId="5" borderId="49" xfId="0" applyFont="1" applyFill="1" applyBorder="1" applyAlignment="1">
      <alignment horizontal="left"/>
    </xf>
    <xf numFmtId="0" fontId="12" fillId="5" borderId="50" xfId="0" applyFont="1" applyFill="1" applyBorder="1" applyAlignment="1"/>
    <xf numFmtId="0" fontId="12" fillId="5" borderId="51" xfId="0" applyFont="1" applyFill="1" applyBorder="1" applyAlignment="1">
      <alignment horizontal="left"/>
    </xf>
    <xf numFmtId="0" fontId="12" fillId="5" borderId="52" xfId="0" applyFont="1" applyFill="1" applyBorder="1" applyAlignment="1"/>
    <xf numFmtId="0" fontId="11" fillId="3" borderId="0" xfId="0" applyFont="1" applyFill="1"/>
    <xf numFmtId="0" fontId="2" fillId="0" borderId="10" xfId="0" applyFont="1" applyBorder="1" applyAlignment="1">
      <alignment horizontal="center"/>
    </xf>
    <xf numFmtId="0" fontId="0" fillId="4" borderId="10" xfId="0" applyFill="1" applyBorder="1" applyAlignment="1">
      <alignment horizontal="center"/>
    </xf>
    <xf numFmtId="0" fontId="0" fillId="0" borderId="10" xfId="0" applyBorder="1" applyAlignment="1">
      <alignment horizontal="center"/>
    </xf>
    <xf numFmtId="0" fontId="0" fillId="0" borderId="25" xfId="0" applyBorder="1" applyAlignment="1">
      <alignment horizontal="center"/>
    </xf>
    <xf numFmtId="0" fontId="2" fillId="0" borderId="6" xfId="0" applyFont="1" applyFill="1" applyBorder="1" applyAlignment="1">
      <alignment horizontal="left"/>
    </xf>
    <xf numFmtId="0" fontId="2" fillId="0" borderId="25" xfId="0" applyFont="1" applyFill="1" applyBorder="1" applyAlignment="1"/>
    <xf numFmtId="0" fontId="2" fillId="4" borderId="6" xfId="0" applyFont="1" applyFill="1" applyBorder="1" applyAlignment="1">
      <alignment horizontal="left"/>
    </xf>
    <xf numFmtId="0" fontId="2" fillId="4" borderId="25" xfId="0" applyFont="1" applyFill="1" applyBorder="1" applyAlignment="1"/>
    <xf numFmtId="0" fontId="2" fillId="0" borderId="25" xfId="0" applyFont="1" applyFill="1" applyBorder="1" applyAlignment="1">
      <alignment horizontal="left"/>
    </xf>
    <xf numFmtId="2" fontId="2" fillId="0" borderId="25" xfId="0" applyNumberFormat="1" applyFont="1" applyBorder="1" applyAlignment="1">
      <alignment horizontal="center"/>
    </xf>
    <xf numFmtId="0" fontId="2" fillId="0" borderId="0" xfId="0" applyFont="1" applyAlignment="1">
      <alignment horizontal="left"/>
    </xf>
    <xf numFmtId="0" fontId="0" fillId="0" borderId="1" xfId="0" applyBorder="1" applyAlignment="1">
      <alignment vertical="center"/>
    </xf>
    <xf numFmtId="0" fontId="6" fillId="0" borderId="0" xfId="0" applyFont="1" applyFill="1"/>
    <xf numFmtId="0" fontId="2" fillId="0" borderId="0" xfId="0" applyFont="1" applyBorder="1" applyAlignment="1">
      <alignment horizontal="center" wrapText="1"/>
    </xf>
    <xf numFmtId="0" fontId="2" fillId="0" borderId="0" xfId="0" applyFont="1" applyFill="1" applyBorder="1" applyAlignment="1">
      <alignment horizontal="center"/>
    </xf>
    <xf numFmtId="0" fontId="0" fillId="0" borderId="0" xfId="0" applyBorder="1" applyAlignment="1">
      <alignment wrapText="1"/>
    </xf>
    <xf numFmtId="0" fontId="0" fillId="3" borderId="0" xfId="0" applyFill="1" applyAlignment="1"/>
    <xf numFmtId="0" fontId="9" fillId="3" borderId="0" xfId="0" applyFont="1" applyFill="1" applyBorder="1" applyAlignment="1" applyProtection="1"/>
    <xf numFmtId="0" fontId="7" fillId="3" borderId="0" xfId="0" applyFont="1" applyFill="1" applyBorder="1" applyAlignment="1" applyProtection="1"/>
    <xf numFmtId="9" fontId="0" fillId="0" borderId="0" xfId="4" applyFont="1" applyBorder="1" applyAlignment="1">
      <alignment horizontal="center"/>
    </xf>
    <xf numFmtId="165" fontId="2" fillId="0" borderId="0" xfId="0" applyNumberFormat="1" applyFont="1" applyBorder="1" applyAlignment="1">
      <alignment horizontal="center"/>
    </xf>
    <xf numFmtId="0" fontId="12" fillId="5" borderId="18" xfId="0" applyFont="1" applyFill="1" applyBorder="1" applyAlignment="1">
      <alignment horizontal="center"/>
    </xf>
    <xf numFmtId="0" fontId="0" fillId="4" borderId="12" xfId="0" applyFill="1" applyBorder="1"/>
    <xf numFmtId="165" fontId="0" fillId="4" borderId="1" xfId="0" applyNumberFormat="1" applyFill="1" applyBorder="1"/>
    <xf numFmtId="0" fontId="0" fillId="0" borderId="24" xfId="0" applyBorder="1"/>
    <xf numFmtId="165" fontId="0" fillId="0" borderId="2" xfId="0" applyNumberFormat="1" applyBorder="1"/>
    <xf numFmtId="0" fontId="2" fillId="4" borderId="6" xfId="0" applyFont="1" applyFill="1" applyBorder="1" applyAlignment="1">
      <alignment horizontal="center"/>
    </xf>
    <xf numFmtId="0" fontId="2" fillId="4" borderId="10" xfId="0" applyFont="1" applyFill="1" applyBorder="1" applyAlignment="1">
      <alignment horizontal="center"/>
    </xf>
    <xf numFmtId="0" fontId="0" fillId="0" borderId="5" xfId="0" applyBorder="1"/>
    <xf numFmtId="0" fontId="0" fillId="0" borderId="19" xfId="0" applyBorder="1"/>
    <xf numFmtId="0" fontId="2" fillId="0" borderId="5" xfId="0" applyFont="1" applyFill="1" applyBorder="1" applyAlignment="1">
      <alignment horizontal="center"/>
    </xf>
    <xf numFmtId="0" fontId="2" fillId="0" borderId="2" xfId="0" applyFont="1" applyFill="1" applyBorder="1" applyAlignment="1">
      <alignment horizontal="center"/>
    </xf>
    <xf numFmtId="0" fontId="2" fillId="0" borderId="53" xfId="0" applyFont="1" applyFill="1" applyBorder="1" applyAlignment="1">
      <alignment horizontal="center"/>
    </xf>
    <xf numFmtId="0" fontId="2" fillId="0" borderId="54" xfId="0" applyFont="1" applyFill="1" applyBorder="1" applyAlignment="1">
      <alignment horizontal="center"/>
    </xf>
    <xf numFmtId="9" fontId="0" fillId="0" borderId="1" xfId="4" applyFont="1" applyBorder="1" applyAlignment="1">
      <alignment horizontal="center"/>
    </xf>
    <xf numFmtId="0" fontId="12" fillId="5" borderId="3" xfId="0" applyFont="1" applyFill="1" applyBorder="1"/>
    <xf numFmtId="165" fontId="12" fillId="5" borderId="26" xfId="0" applyNumberFormat="1" applyFont="1" applyFill="1" applyBorder="1" applyAlignment="1">
      <alignment horizontal="center"/>
    </xf>
    <xf numFmtId="9" fontId="0" fillId="0" borderId="0" xfId="4" applyFont="1" applyFill="1" applyBorder="1" applyAlignment="1">
      <alignment horizontal="center"/>
    </xf>
    <xf numFmtId="165" fontId="12" fillId="0" borderId="0" xfId="0" applyNumberFormat="1" applyFont="1" applyFill="1" applyBorder="1" applyAlignment="1">
      <alignment horizontal="center"/>
    </xf>
    <xf numFmtId="0" fontId="2" fillId="0" borderId="0" xfId="0" applyFont="1" applyFill="1" applyBorder="1" applyAlignment="1">
      <alignment horizontal="center" wrapText="1"/>
    </xf>
    <xf numFmtId="0" fontId="0" fillId="0" borderId="0" xfId="0" applyFill="1" applyBorder="1" applyAlignment="1">
      <alignment horizontal="center" wrapText="1"/>
    </xf>
    <xf numFmtId="0" fontId="0" fillId="0" borderId="0" xfId="0" applyFill="1" applyBorder="1" applyAlignment="1"/>
    <xf numFmtId="0" fontId="12" fillId="5" borderId="10" xfId="0" applyFont="1" applyFill="1" applyBorder="1" applyAlignment="1">
      <alignment horizontal="center"/>
    </xf>
    <xf numFmtId="165" fontId="0" fillId="0" borderId="0" xfId="0" applyNumberFormat="1" applyFill="1" applyBorder="1"/>
    <xf numFmtId="0" fontId="0" fillId="0" borderId="3" xfId="0" applyFill="1" applyBorder="1"/>
    <xf numFmtId="0" fontId="0" fillId="0" borderId="0" xfId="0" applyFill="1" applyAlignment="1">
      <alignment horizontal="center" vertical="center"/>
    </xf>
    <xf numFmtId="0" fontId="0" fillId="0" borderId="1" xfId="0" applyFill="1" applyBorder="1" applyAlignment="1">
      <alignment horizontal="center" vertical="center"/>
    </xf>
    <xf numFmtId="0" fontId="0" fillId="0" borderId="0" xfId="0" applyFill="1" applyAlignment="1">
      <alignment vertical="center"/>
    </xf>
    <xf numFmtId="0" fontId="0" fillId="0" borderId="0" xfId="0" applyAlignment="1">
      <alignment vertical="center"/>
    </xf>
    <xf numFmtId="9" fontId="0" fillId="4" borderId="6" xfId="4" applyFont="1" applyFill="1" applyBorder="1" applyAlignment="1">
      <alignment horizontal="center" vertical="center"/>
    </xf>
    <xf numFmtId="9" fontId="0" fillId="4" borderId="9" xfId="4" applyFont="1" applyFill="1" applyBorder="1" applyAlignment="1">
      <alignment horizontal="center" vertical="center"/>
    </xf>
    <xf numFmtId="9" fontId="0" fillId="4" borderId="25" xfId="4" applyFont="1" applyFill="1" applyBorder="1" applyAlignment="1">
      <alignment horizontal="center" vertical="center"/>
    </xf>
    <xf numFmtId="168" fontId="0" fillId="0" borderId="3" xfId="4" applyNumberFormat="1" applyFont="1" applyFill="1" applyBorder="1" applyAlignment="1">
      <alignment horizontal="center" vertical="center"/>
    </xf>
    <xf numFmtId="168" fontId="0" fillId="0" borderId="2" xfId="4" applyNumberFormat="1" applyFont="1" applyFill="1" applyBorder="1" applyAlignment="1">
      <alignment horizontal="center" vertical="center"/>
    </xf>
    <xf numFmtId="0" fontId="35" fillId="0" borderId="0" xfId="0" applyFont="1" applyAlignment="1">
      <alignment vertical="center"/>
    </xf>
    <xf numFmtId="0" fontId="35" fillId="0" borderId="0" xfId="0" applyFont="1" applyFill="1" applyAlignment="1">
      <alignment vertical="center"/>
    </xf>
    <xf numFmtId="0" fontId="35" fillId="0" borderId="1" xfId="0" applyFont="1" applyBorder="1" applyAlignment="1">
      <alignment vertical="center"/>
    </xf>
    <xf numFmtId="0" fontId="37" fillId="5" borderId="3" xfId="0" applyFont="1" applyFill="1" applyBorder="1" applyAlignment="1">
      <alignment vertical="center"/>
    </xf>
    <xf numFmtId="1" fontId="36" fillId="5" borderId="8" xfId="0" applyNumberFormat="1" applyFont="1" applyFill="1" applyBorder="1" applyAlignment="1">
      <alignment horizontal="center" vertical="center"/>
    </xf>
    <xf numFmtId="0" fontId="13" fillId="0" borderId="0" xfId="0" applyFont="1" applyFill="1" applyAlignment="1"/>
    <xf numFmtId="0" fontId="0" fillId="0" borderId="29" xfId="0" applyBorder="1"/>
    <xf numFmtId="10" fontId="12" fillId="5" borderId="7" xfId="0" applyNumberFormat="1" applyFont="1" applyFill="1" applyBorder="1" applyAlignment="1">
      <alignment horizontal="center"/>
    </xf>
    <xf numFmtId="10" fontId="12" fillId="5" borderId="27" xfId="0" applyNumberFormat="1" applyFont="1" applyFill="1" applyBorder="1" applyAlignment="1">
      <alignment horizontal="center"/>
    </xf>
    <xf numFmtId="10" fontId="12" fillId="0" borderId="0" xfId="0" applyNumberFormat="1" applyFont="1" applyFill="1" applyBorder="1" applyAlignment="1">
      <alignment horizontal="center"/>
    </xf>
    <xf numFmtId="10" fontId="12" fillId="6" borderId="9" xfId="0" applyNumberFormat="1" applyFont="1" applyFill="1" applyBorder="1" applyAlignment="1">
      <alignment horizontal="center"/>
    </xf>
    <xf numFmtId="10" fontId="12" fillId="5" borderId="55" xfId="0" applyNumberFormat="1" applyFont="1" applyFill="1" applyBorder="1" applyAlignment="1">
      <alignment horizontal="center"/>
    </xf>
    <xf numFmtId="0" fontId="2" fillId="7" borderId="1" xfId="0" applyFont="1" applyFill="1" applyBorder="1" applyAlignment="1">
      <alignment horizontal="center"/>
    </xf>
    <xf numFmtId="0" fontId="2" fillId="6" borderId="4" xfId="0" applyFont="1" applyFill="1" applyBorder="1" applyAlignment="1">
      <alignment horizontal="center"/>
    </xf>
    <xf numFmtId="0" fontId="2" fillId="7" borderId="4" xfId="0" applyFont="1" applyFill="1" applyBorder="1" applyAlignment="1">
      <alignment horizontal="center"/>
    </xf>
    <xf numFmtId="0" fontId="0" fillId="0" borderId="0" xfId="0" applyAlignment="1">
      <alignment horizontal="center"/>
    </xf>
    <xf numFmtId="0" fontId="0" fillId="0" borderId="20" xfId="0" applyBorder="1"/>
    <xf numFmtId="0" fontId="12" fillId="5" borderId="32" xfId="0" applyFont="1" applyFill="1" applyBorder="1" applyAlignment="1">
      <alignment horizontal="center" vertical="center"/>
    </xf>
    <xf numFmtId="0" fontId="12" fillId="5" borderId="33" xfId="0" applyFont="1" applyFill="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0" borderId="0" xfId="0" applyAlignment="1">
      <alignment horizontal="center" vertical="center"/>
    </xf>
    <xf numFmtId="0" fontId="0" fillId="4" borderId="4" xfId="0" applyFill="1" applyBorder="1" applyAlignment="1">
      <alignment horizontal="center" vertical="center"/>
    </xf>
    <xf numFmtId="0" fontId="0" fillId="4" borderId="1" xfId="0" applyFill="1" applyBorder="1" applyAlignment="1">
      <alignment horizontal="center" vertical="center"/>
    </xf>
    <xf numFmtId="9" fontId="0" fillId="4" borderId="1" xfId="0" applyNumberFormat="1" applyFill="1" applyBorder="1" applyAlignment="1">
      <alignment horizontal="center" vertical="center"/>
    </xf>
    <xf numFmtId="0" fontId="12" fillId="5" borderId="56" xfId="0" applyFont="1" applyFill="1" applyBorder="1" applyAlignment="1">
      <alignment horizontal="center" vertical="center"/>
    </xf>
    <xf numFmtId="0" fontId="12" fillId="5" borderId="57" xfId="0" applyFont="1" applyFill="1" applyBorder="1" applyAlignment="1">
      <alignment horizontal="center" vertical="center"/>
    </xf>
    <xf numFmtId="9" fontId="12" fillId="5" borderId="50" xfId="0" applyNumberFormat="1" applyFont="1" applyFill="1" applyBorder="1" applyAlignment="1">
      <alignment horizontal="center" vertical="center"/>
    </xf>
    <xf numFmtId="0" fontId="12" fillId="5" borderId="58" xfId="0" applyFont="1" applyFill="1" applyBorder="1" applyAlignment="1">
      <alignment horizontal="center" vertical="center"/>
    </xf>
    <xf numFmtId="0" fontId="12" fillId="5" borderId="47" xfId="0" applyFont="1" applyFill="1" applyBorder="1" applyAlignment="1">
      <alignment horizontal="center" vertical="center"/>
    </xf>
    <xf numFmtId="9" fontId="12" fillId="5" borderId="2" xfId="0" applyNumberFormat="1" applyFont="1" applyFill="1" applyBorder="1" applyAlignment="1">
      <alignment horizontal="center" vertical="center"/>
    </xf>
    <xf numFmtId="0" fontId="0" fillId="0" borderId="0" xfId="0" applyAlignment="1">
      <alignment horizontal="right" vertical="center"/>
    </xf>
    <xf numFmtId="0" fontId="12" fillId="5" borderId="59" xfId="0" applyFont="1" applyFill="1" applyBorder="1" applyAlignment="1">
      <alignment vertical="center" wrapText="1"/>
    </xf>
    <xf numFmtId="0" fontId="15" fillId="0" borderId="0" xfId="0" applyFont="1" applyFill="1" applyBorder="1" applyProtection="1"/>
    <xf numFmtId="0" fontId="12" fillId="5" borderId="19" xfId="0" applyFont="1" applyFill="1" applyBorder="1" applyAlignment="1">
      <alignment vertical="center"/>
    </xf>
    <xf numFmtId="0" fontId="12" fillId="5" borderId="60" xfId="0" applyFont="1" applyFill="1" applyBorder="1" applyAlignment="1">
      <alignment vertical="center"/>
    </xf>
    <xf numFmtId="0" fontId="12" fillId="5" borderId="61" xfId="0" applyFont="1" applyFill="1" applyBorder="1" applyAlignment="1">
      <alignment vertical="center"/>
    </xf>
    <xf numFmtId="0" fontId="0" fillId="4" borderId="0" xfId="0" applyFill="1" applyAlignment="1">
      <alignment horizontal="center" vertical="center"/>
    </xf>
    <xf numFmtId="0" fontId="0" fillId="4" borderId="18" xfId="0" applyFill="1" applyBorder="1" applyAlignment="1">
      <alignment horizontal="center" vertical="center"/>
    </xf>
    <xf numFmtId="0" fontId="0" fillId="0" borderId="2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173" fontId="12" fillId="5" borderId="27" xfId="0" applyNumberFormat="1" applyFont="1" applyFill="1" applyBorder="1" applyAlignment="1">
      <alignment horizontal="center" vertical="center"/>
    </xf>
    <xf numFmtId="172" fontId="12" fillId="5" borderId="8" xfId="0" applyNumberFormat="1" applyFont="1" applyFill="1" applyBorder="1" applyAlignment="1">
      <alignment horizontal="center" vertical="center"/>
    </xf>
    <xf numFmtId="10" fontId="12" fillId="5" borderId="3" xfId="0" applyNumberFormat="1" applyFont="1" applyFill="1" applyBorder="1" applyAlignment="1">
      <alignment horizontal="center" vertical="center"/>
    </xf>
    <xf numFmtId="0" fontId="0" fillId="4" borderId="32" xfId="0" applyFill="1" applyBorder="1" applyAlignment="1">
      <alignment horizontal="center" vertical="center"/>
    </xf>
    <xf numFmtId="0" fontId="0" fillId="0" borderId="12" xfId="0" applyBorder="1" applyAlignment="1">
      <alignment horizontal="center" vertical="center"/>
    </xf>
    <xf numFmtId="0" fontId="0" fillId="4" borderId="12" xfId="0" applyFill="1" applyBorder="1" applyAlignment="1">
      <alignment horizontal="center" vertical="center"/>
    </xf>
    <xf numFmtId="0" fontId="15" fillId="0" borderId="0" xfId="0" applyFont="1" applyAlignment="1">
      <alignment horizontal="justify" vertical="center"/>
    </xf>
    <xf numFmtId="10" fontId="0" fillId="0" borderId="0" xfId="0" applyNumberFormat="1"/>
    <xf numFmtId="0" fontId="12" fillId="5" borderId="19" xfId="0" applyFont="1" applyFill="1" applyBorder="1" applyAlignment="1">
      <alignment horizontal="center" vertical="center"/>
    </xf>
    <xf numFmtId="0" fontId="9" fillId="3" borderId="0" xfId="0" quotePrefix="1" applyFont="1" applyFill="1" applyBorder="1" applyAlignment="1" applyProtection="1">
      <alignment vertical="justify" wrapText="1"/>
    </xf>
    <xf numFmtId="0" fontId="0" fillId="0" borderId="18" xfId="0" applyBorder="1" applyAlignment="1">
      <alignment vertical="center"/>
    </xf>
    <xf numFmtId="0" fontId="2" fillId="4" borderId="2" xfId="0" applyFont="1" applyFill="1" applyBorder="1" applyAlignment="1">
      <alignment horizontal="center"/>
    </xf>
    <xf numFmtId="0" fontId="2" fillId="0" borderId="1" xfId="0" applyFont="1" applyBorder="1" applyAlignment="1">
      <alignment horizontal="center" wrapText="1"/>
    </xf>
    <xf numFmtId="0" fontId="2" fillId="0" borderId="19" xfId="0" applyFont="1" applyBorder="1" applyAlignment="1">
      <alignment horizontal="center" wrapText="1"/>
    </xf>
    <xf numFmtId="0" fontId="2" fillId="4" borderId="5" xfId="0" applyFont="1" applyFill="1" applyBorder="1" applyAlignment="1">
      <alignment horizontal="center"/>
    </xf>
    <xf numFmtId="0" fontId="2" fillId="0" borderId="6" xfId="0" applyFont="1" applyBorder="1" applyAlignment="1">
      <alignment horizontal="center"/>
    </xf>
    <xf numFmtId="0" fontId="0" fillId="0" borderId="12" xfId="0" applyBorder="1" applyAlignment="1">
      <alignment horizontal="center"/>
    </xf>
    <xf numFmtId="0" fontId="0" fillId="0" borderId="24" xfId="0" applyBorder="1" applyAlignment="1">
      <alignment horizontal="center"/>
    </xf>
    <xf numFmtId="0" fontId="0" fillId="4" borderId="12" xfId="0" applyFill="1" applyBorder="1" applyAlignment="1">
      <alignment horizontal="center"/>
    </xf>
    <xf numFmtId="0" fontId="2" fillId="0" borderId="10" xfId="0" applyFont="1" applyBorder="1" applyAlignment="1">
      <alignment horizontal="center" wrapText="1"/>
    </xf>
    <xf numFmtId="0" fontId="2" fillId="0" borderId="25" xfId="0" applyFont="1" applyBorder="1" applyAlignment="1">
      <alignment horizontal="center" wrapText="1"/>
    </xf>
    <xf numFmtId="0" fontId="6" fillId="4" borderId="0" xfId="0" applyFont="1" applyFill="1" applyBorder="1" applyAlignment="1">
      <alignment horizontal="left"/>
    </xf>
    <xf numFmtId="2" fontId="12" fillId="5" borderId="2" xfId="0" applyNumberFormat="1" applyFont="1" applyFill="1" applyBorder="1" applyAlignment="1">
      <alignment horizontal="center"/>
    </xf>
    <xf numFmtId="9" fontId="0" fillId="0" borderId="1" xfId="4" applyFont="1" applyFill="1" applyBorder="1" applyAlignment="1">
      <alignment horizontal="center"/>
    </xf>
    <xf numFmtId="0" fontId="0" fillId="0" borderId="18" xfId="0" applyFill="1" applyBorder="1"/>
    <xf numFmtId="0" fontId="2" fillId="0" borderId="24" xfId="0" applyFont="1" applyBorder="1" applyAlignment="1">
      <alignment horizontal="center"/>
    </xf>
    <xf numFmtId="0" fontId="2" fillId="0" borderId="6" xfId="0" applyFont="1" applyBorder="1" applyAlignment="1">
      <alignment horizontal="center" vertical="center"/>
    </xf>
    <xf numFmtId="174" fontId="0" fillId="0" borderId="0" xfId="0" applyNumberFormat="1" applyAlignment="1">
      <alignment horizontal="left"/>
    </xf>
    <xf numFmtId="41" fontId="0" fillId="0" borderId="19" xfId="0" applyNumberFormat="1" applyBorder="1"/>
    <xf numFmtId="41" fontId="0" fillId="0" borderId="4" xfId="0" applyNumberFormat="1" applyBorder="1"/>
    <xf numFmtId="174" fontId="0" fillId="4" borderId="0" xfId="0" applyNumberFormat="1" applyFill="1" applyAlignment="1">
      <alignment horizontal="left"/>
    </xf>
    <xf numFmtId="41" fontId="0" fillId="4" borderId="4" xfId="0" applyNumberFormat="1" applyFill="1" applyBorder="1"/>
    <xf numFmtId="174" fontId="0" fillId="4" borderId="3" xfId="0" applyNumberFormat="1" applyFill="1" applyBorder="1" applyAlignment="1">
      <alignment horizontal="left"/>
    </xf>
    <xf numFmtId="41" fontId="0" fillId="4" borderId="5" xfId="0" applyNumberFormat="1" applyFill="1" applyBorder="1"/>
    <xf numFmtId="0" fontId="39" fillId="0" borderId="0" xfId="0" applyFont="1" applyAlignment="1">
      <alignment horizontal="justify"/>
    </xf>
    <xf numFmtId="0" fontId="12" fillId="5" borderId="49" xfId="0" applyFont="1" applyFill="1" applyBorder="1" applyAlignment="1">
      <alignment horizontal="center" vertical="center" wrapText="1"/>
    </xf>
    <xf numFmtId="0" fontId="12" fillId="5" borderId="62" xfId="0" applyFont="1" applyFill="1" applyBorder="1" applyAlignment="1">
      <alignment horizontal="center" vertical="center" wrapText="1"/>
    </xf>
    <xf numFmtId="174" fontId="0" fillId="4" borderId="24" xfId="0" applyNumberFormat="1" applyFill="1" applyBorder="1" applyAlignment="1">
      <alignment horizontal="left"/>
    </xf>
    <xf numFmtId="0" fontId="12" fillId="5" borderId="58" xfId="0" applyFont="1" applyFill="1" applyBorder="1" applyAlignment="1">
      <alignment horizontal="center"/>
    </xf>
    <xf numFmtId="0" fontId="12" fillId="5" borderId="1" xfId="0" applyFont="1" applyFill="1" applyBorder="1" applyAlignment="1">
      <alignment horizontal="center"/>
    </xf>
    <xf numFmtId="41" fontId="0" fillId="0" borderId="1" xfId="0" applyNumberFormat="1" applyBorder="1"/>
    <xf numFmtId="41" fontId="0" fillId="4" borderId="1" xfId="0" applyNumberFormat="1" applyFill="1" applyBorder="1"/>
    <xf numFmtId="0" fontId="12" fillId="5" borderId="32" xfId="0" applyFont="1" applyFill="1" applyBorder="1" applyAlignment="1">
      <alignment horizontal="center" vertical="center" wrapText="1"/>
    </xf>
    <xf numFmtId="0" fontId="12" fillId="5" borderId="11" xfId="0" applyFont="1" applyFill="1" applyBorder="1"/>
    <xf numFmtId="174" fontId="0" fillId="0" borderId="12" xfId="0" applyNumberFormat="1" applyBorder="1" applyAlignment="1">
      <alignment horizontal="left"/>
    </xf>
    <xf numFmtId="174" fontId="0" fillId="4" borderId="12" xfId="0" applyNumberFormat="1" applyFill="1" applyBorder="1" applyAlignment="1">
      <alignment horizontal="left"/>
    </xf>
    <xf numFmtId="0" fontId="12" fillId="5" borderId="63" xfId="0" applyFont="1" applyFill="1" applyBorder="1" applyAlignment="1">
      <alignment horizontal="center"/>
    </xf>
    <xf numFmtId="0" fontId="12" fillId="5" borderId="64" xfId="0" applyFont="1" applyFill="1" applyBorder="1" applyAlignment="1">
      <alignment horizontal="center"/>
    </xf>
    <xf numFmtId="174" fontId="0" fillId="4" borderId="0" xfId="0" applyNumberFormat="1" applyFill="1" applyBorder="1" applyAlignment="1">
      <alignment horizontal="left"/>
    </xf>
    <xf numFmtId="41" fontId="0" fillId="0" borderId="0" xfId="0" applyNumberFormat="1" applyFill="1" applyBorder="1"/>
    <xf numFmtId="41" fontId="0" fillId="0" borderId="0" xfId="0" quotePrefix="1" applyNumberFormat="1" applyFill="1" applyBorder="1"/>
    <xf numFmtId="174" fontId="0" fillId="0" borderId="0" xfId="0" quotePrefix="1" applyNumberFormat="1" applyFill="1" applyBorder="1" applyAlignment="1">
      <alignment horizontal="left"/>
    </xf>
    <xf numFmtId="174" fontId="14" fillId="5" borderId="3" xfId="0" applyNumberFormat="1" applyFont="1" applyFill="1" applyBorder="1" applyAlignment="1">
      <alignment horizontal="left" vertical="center"/>
    </xf>
    <xf numFmtId="174" fontId="40" fillId="0" borderId="10" xfId="0" applyNumberFormat="1" applyFont="1" applyFill="1" applyBorder="1" applyAlignment="1">
      <alignment horizontal="left" vertical="center"/>
    </xf>
    <xf numFmtId="0" fontId="6" fillId="0" borderId="0" xfId="0" applyFont="1" applyAlignment="1">
      <alignment horizontal="justify"/>
    </xf>
    <xf numFmtId="175" fontId="6" fillId="0" borderId="18" xfId="0" applyNumberFormat="1" applyFont="1" applyBorder="1" applyAlignment="1"/>
    <xf numFmtId="175" fontId="6" fillId="0" borderId="1" xfId="0" applyNumberFormat="1" applyFont="1" applyBorder="1"/>
    <xf numFmtId="0" fontId="2" fillId="0" borderId="0" xfId="0" applyFont="1" applyBorder="1" applyAlignment="1"/>
    <xf numFmtId="0" fontId="6" fillId="0" borderId="0" xfId="0" applyFont="1" applyBorder="1" applyAlignment="1"/>
    <xf numFmtId="0" fontId="6" fillId="0" borderId="0" xfId="0" applyFont="1" applyBorder="1"/>
    <xf numFmtId="0" fontId="6" fillId="4" borderId="0" xfId="0" applyFont="1" applyFill="1" applyAlignment="1">
      <alignment horizontal="justify"/>
    </xf>
    <xf numFmtId="175" fontId="6" fillId="4" borderId="1" xfId="0" applyNumberFormat="1" applyFont="1" applyFill="1" applyBorder="1"/>
    <xf numFmtId="0" fontId="6" fillId="4" borderId="24" xfId="0" applyFont="1" applyFill="1" applyBorder="1" applyAlignment="1">
      <alignment horizontal="justify"/>
    </xf>
    <xf numFmtId="175" fontId="6" fillId="4" borderId="2" xfId="0" applyNumberFormat="1" applyFont="1" applyFill="1" applyBorder="1"/>
    <xf numFmtId="0" fontId="14" fillId="5" borderId="24" xfId="0" applyFont="1" applyFill="1" applyBorder="1" applyAlignment="1">
      <alignment horizontal="justify"/>
    </xf>
    <xf numFmtId="175" fontId="14" fillId="5" borderId="2" xfId="0" applyNumberFormat="1" applyFont="1" applyFill="1" applyBorder="1"/>
    <xf numFmtId="0" fontId="14" fillId="5" borderId="0" xfId="0" applyFont="1" applyFill="1"/>
    <xf numFmtId="164" fontId="14" fillId="5" borderId="0" xfId="0" applyNumberFormat="1" applyFont="1" applyFill="1"/>
    <xf numFmtId="0" fontId="0" fillId="0" borderId="24" xfId="0" quotePrefix="1" applyBorder="1"/>
    <xf numFmtId="0" fontId="8" fillId="3" borderId="0" xfId="0" applyFont="1" applyFill="1" applyBorder="1" applyAlignment="1" applyProtection="1">
      <alignment vertical="center"/>
    </xf>
    <xf numFmtId="0" fontId="9" fillId="3" borderId="0" xfId="0" applyFont="1" applyFill="1" applyBorder="1" applyAlignment="1" applyProtection="1">
      <alignment vertical="center"/>
    </xf>
    <xf numFmtId="0" fontId="0" fillId="3" borderId="0" xfId="0" applyFill="1" applyAlignment="1">
      <alignment vertical="center"/>
    </xf>
    <xf numFmtId="0" fontId="9" fillId="3" borderId="0" xfId="0" quotePrefix="1" applyFont="1" applyFill="1" applyBorder="1" applyAlignment="1" applyProtection="1">
      <alignment vertical="center" wrapText="1"/>
    </xf>
    <xf numFmtId="174" fontId="14" fillId="5" borderId="6" xfId="0" applyNumberFormat="1" applyFont="1" applyFill="1" applyBorder="1" applyAlignment="1">
      <alignment horizontal="left" vertical="center"/>
    </xf>
    <xf numFmtId="174" fontId="40" fillId="0" borderId="25" xfId="0" applyNumberFormat="1" applyFont="1" applyFill="1" applyBorder="1" applyAlignment="1">
      <alignment horizontal="left" vertical="center"/>
    </xf>
    <xf numFmtId="0" fontId="6" fillId="4" borderId="3" xfId="0" applyFont="1" applyFill="1" applyBorder="1" applyAlignment="1">
      <alignment horizontal="justify"/>
    </xf>
    <xf numFmtId="0" fontId="14" fillId="5" borderId="3" xfId="0" applyFont="1" applyFill="1" applyBorder="1" applyAlignment="1">
      <alignment horizontal="justify"/>
    </xf>
    <xf numFmtId="0" fontId="12" fillId="5" borderId="0" xfId="0" applyFont="1" applyFill="1"/>
    <xf numFmtId="0" fontId="12" fillId="5" borderId="0" xfId="0" applyFont="1" applyFill="1" applyAlignment="1">
      <alignment horizontal="left"/>
    </xf>
    <xf numFmtId="0" fontId="0" fillId="4" borderId="0" xfId="0" applyFill="1" applyAlignment="1">
      <alignment horizontal="center"/>
    </xf>
    <xf numFmtId="0" fontId="0" fillId="4" borderId="2" xfId="0" applyFill="1" applyBorder="1"/>
    <xf numFmtId="0" fontId="2" fillId="4" borderId="19" xfId="0" applyFont="1" applyFill="1" applyBorder="1"/>
    <xf numFmtId="0" fontId="2" fillId="4" borderId="5" xfId="0" applyFont="1" applyFill="1" applyBorder="1"/>
    <xf numFmtId="0" fontId="2" fillId="0" borderId="4" xfId="0" applyFont="1" applyFill="1" applyBorder="1"/>
    <xf numFmtId="164" fontId="12" fillId="5" borderId="9" xfId="0" applyNumberFormat="1" applyFont="1" applyFill="1" applyBorder="1" applyAlignment="1">
      <alignment horizontal="center"/>
    </xf>
    <xf numFmtId="0" fontId="14" fillId="5" borderId="5" xfId="0" applyFont="1" applyFill="1" applyBorder="1"/>
    <xf numFmtId="2" fontId="14" fillId="5" borderId="2" xfId="0" applyNumberFormat="1" applyFont="1" applyFill="1" applyBorder="1" applyAlignment="1">
      <alignment horizontal="center"/>
    </xf>
    <xf numFmtId="0" fontId="2" fillId="0" borderId="4" xfId="0" applyFont="1" applyBorder="1"/>
    <xf numFmtId="0" fontId="2" fillId="0" borderId="1" xfId="0" applyFont="1" applyBorder="1" applyAlignment="1">
      <alignment horizontal="center"/>
    </xf>
    <xf numFmtId="174" fontId="0" fillId="0" borderId="0" xfId="0" applyNumberFormat="1" applyBorder="1" applyAlignment="1">
      <alignment horizontal="left"/>
    </xf>
    <xf numFmtId="0" fontId="0" fillId="0" borderId="0" xfId="0" applyAlignment="1">
      <alignment vertical="top" wrapText="1"/>
    </xf>
    <xf numFmtId="41" fontId="0" fillId="0" borderId="4" xfId="0" applyNumberFormat="1" applyBorder="1" applyAlignment="1">
      <alignment horizontal="right"/>
    </xf>
    <xf numFmtId="0" fontId="12" fillId="5" borderId="22" xfId="0" applyFont="1" applyFill="1" applyBorder="1" applyAlignment="1">
      <alignment horizontal="center"/>
    </xf>
    <xf numFmtId="0" fontId="0" fillId="0" borderId="3" xfId="0" applyBorder="1" applyAlignment="1">
      <alignment vertical="top" wrapText="1"/>
    </xf>
    <xf numFmtId="0" fontId="0" fillId="0" borderId="0" xfId="0" quotePrefix="1" applyAlignment="1">
      <alignment vertical="top"/>
    </xf>
    <xf numFmtId="0" fontId="0" fillId="0" borderId="1" xfId="0" applyBorder="1" applyAlignment="1">
      <alignment vertical="top"/>
    </xf>
    <xf numFmtId="0" fontId="0" fillId="0" borderId="3" xfId="0" applyBorder="1" applyAlignment="1">
      <alignment vertical="top"/>
    </xf>
    <xf numFmtId="0" fontId="12" fillId="5" borderId="5" xfId="0" applyFont="1" applyFill="1" applyBorder="1" applyAlignment="1">
      <alignment vertical="top"/>
    </xf>
    <xf numFmtId="0" fontId="12" fillId="5" borderId="19" xfId="0" applyFont="1" applyFill="1" applyBorder="1" applyAlignment="1">
      <alignment horizontal="center" vertical="top"/>
    </xf>
    <xf numFmtId="0" fontId="12" fillId="5" borderId="1" xfId="0" applyFont="1" applyFill="1" applyBorder="1" applyAlignment="1">
      <alignment horizontal="center" vertical="top"/>
    </xf>
    <xf numFmtId="0" fontId="0" fillId="0" borderId="5" xfId="0" applyBorder="1" applyAlignment="1">
      <alignment horizontal="center" vertical="top"/>
    </xf>
    <xf numFmtId="0" fontId="0" fillId="0" borderId="2" xfId="0" applyBorder="1" applyAlignment="1">
      <alignment horizontal="center" vertical="top"/>
    </xf>
    <xf numFmtId="2" fontId="0" fillId="4" borderId="5" xfId="0" applyNumberFormat="1" applyFill="1" applyBorder="1" applyAlignment="1">
      <alignment horizontal="center"/>
    </xf>
    <xf numFmtId="2" fontId="0" fillId="4" borderId="2" xfId="0" applyNumberFormat="1" applyFill="1" applyBorder="1" applyAlignment="1">
      <alignment horizontal="center"/>
    </xf>
    <xf numFmtId="176" fontId="0" fillId="0" borderId="4" xfId="0" applyNumberFormat="1" applyBorder="1" applyAlignment="1">
      <alignment horizontal="center"/>
    </xf>
    <xf numFmtId="176" fontId="0" fillId="0" borderId="1" xfId="0" applyNumberFormat="1" applyBorder="1" applyAlignment="1">
      <alignment horizontal="center"/>
    </xf>
    <xf numFmtId="2" fontId="0" fillId="4" borderId="4" xfId="0" applyNumberFormat="1" applyFill="1" applyBorder="1" applyAlignment="1">
      <alignment horizontal="center"/>
    </xf>
    <xf numFmtId="0" fontId="0" fillId="0" borderId="0" xfId="0" quotePrefix="1" applyAlignment="1">
      <alignment horizontal="center" vertical="top"/>
    </xf>
    <xf numFmtId="0" fontId="0" fillId="0" borderId="0" xfId="0" quotePrefix="1" applyAlignment="1">
      <alignment horizontal="center"/>
    </xf>
    <xf numFmtId="174" fontId="0" fillId="0" borderId="24" xfId="0" applyNumberFormat="1" applyBorder="1" applyAlignment="1">
      <alignment horizontal="left"/>
    </xf>
    <xf numFmtId="41" fontId="0" fillId="0" borderId="5" xfId="0" applyNumberFormat="1" applyBorder="1"/>
    <xf numFmtId="0" fontId="2" fillId="0" borderId="0" xfId="0" applyFont="1" applyAlignment="1">
      <alignment vertical="center"/>
    </xf>
    <xf numFmtId="0" fontId="0" fillId="4" borderId="0" xfId="0" applyFill="1" applyAlignment="1">
      <alignment vertical="center"/>
    </xf>
    <xf numFmtId="0" fontId="12" fillId="5" borderId="0" xfId="0" applyFont="1" applyFill="1" applyAlignment="1">
      <alignment horizontal="center" vertical="center"/>
    </xf>
    <xf numFmtId="0" fontId="0" fillId="0" borderId="19" xfId="0" applyBorder="1" applyAlignment="1">
      <alignment vertical="center"/>
    </xf>
    <xf numFmtId="0" fontId="0" fillId="4" borderId="4" xfId="0" applyFill="1" applyBorder="1" applyAlignment="1">
      <alignment vertical="center"/>
    </xf>
    <xf numFmtId="0" fontId="0" fillId="0" borderId="4" xfId="0" applyBorder="1" applyAlignment="1">
      <alignment vertical="center"/>
    </xf>
    <xf numFmtId="0" fontId="0" fillId="0" borderId="19" xfId="0" applyBorder="1" applyAlignment="1">
      <alignment horizontal="center" vertical="center"/>
    </xf>
    <xf numFmtId="0" fontId="14" fillId="5" borderId="2" xfId="0" applyFont="1" applyFill="1" applyBorder="1" applyAlignment="1">
      <alignment horizontal="center" vertical="center"/>
    </xf>
    <xf numFmtId="0" fontId="14" fillId="5" borderId="59" xfId="0" applyFont="1" applyFill="1" applyBorder="1" applyAlignment="1">
      <alignment vertical="center"/>
    </xf>
    <xf numFmtId="0" fontId="2" fillId="0" borderId="3" xfId="0" applyFont="1" applyBorder="1" applyAlignment="1">
      <alignment vertical="center"/>
    </xf>
    <xf numFmtId="0" fontId="0" fillId="0" borderId="3" xfId="0" applyBorder="1" applyAlignment="1">
      <alignment vertical="center"/>
    </xf>
    <xf numFmtId="0" fontId="0" fillId="0" borderId="18" xfId="0" applyBorder="1" applyAlignment="1">
      <alignment horizontal="center" vertical="center"/>
    </xf>
    <xf numFmtId="0" fontId="0" fillId="4" borderId="1" xfId="0" applyFill="1" applyBorder="1" applyAlignment="1">
      <alignment vertical="center"/>
    </xf>
    <xf numFmtId="0" fontId="14" fillId="5" borderId="24" xfId="0" applyFont="1" applyFill="1" applyBorder="1" applyAlignment="1">
      <alignment vertical="center"/>
    </xf>
    <xf numFmtId="0" fontId="14" fillId="5" borderId="3" xfId="0" applyFont="1" applyFill="1" applyBorder="1" applyAlignment="1">
      <alignment vertical="center"/>
    </xf>
    <xf numFmtId="10" fontId="14" fillId="5" borderId="26" xfId="0" applyNumberFormat="1" applyFont="1" applyFill="1" applyBorder="1" applyAlignment="1">
      <alignment horizontal="center" vertical="center"/>
    </xf>
    <xf numFmtId="0" fontId="0" fillId="0" borderId="6" xfId="0" applyBorder="1" applyAlignment="1">
      <alignment horizontal="center"/>
    </xf>
    <xf numFmtId="1" fontId="0" fillId="0" borderId="10" xfId="0" applyNumberFormat="1" applyBorder="1" applyAlignment="1">
      <alignment horizontal="center"/>
    </xf>
    <xf numFmtId="0" fontId="12" fillId="5" borderId="59" xfId="0" applyFont="1" applyFill="1" applyBorder="1" applyAlignment="1">
      <alignment horizontal="center" vertical="center"/>
    </xf>
    <xf numFmtId="165" fontId="0" fillId="0" borderId="4" xfId="0" applyNumberFormat="1" applyBorder="1" applyAlignment="1">
      <alignment horizontal="center"/>
    </xf>
    <xf numFmtId="165" fontId="0" fillId="4" borderId="4" xfId="0" applyNumberFormat="1" applyFill="1" applyBorder="1" applyAlignment="1">
      <alignment horizontal="center"/>
    </xf>
    <xf numFmtId="165" fontId="0" fillId="4" borderId="5" xfId="0" applyNumberFormat="1" applyFill="1" applyBorder="1" applyAlignment="1">
      <alignment horizontal="center"/>
    </xf>
    <xf numFmtId="165" fontId="0" fillId="0" borderId="4" xfId="0" applyNumberFormat="1" applyFill="1" applyBorder="1" applyAlignment="1">
      <alignment horizontal="center"/>
    </xf>
    <xf numFmtId="0" fontId="2" fillId="0" borderId="0" xfId="0" applyFont="1" applyFill="1"/>
    <xf numFmtId="0" fontId="12" fillId="5" borderId="21" xfId="0" applyFont="1" applyFill="1" applyBorder="1" applyAlignment="1">
      <alignment horizontal="center" vertical="center" wrapText="1"/>
    </xf>
    <xf numFmtId="0" fontId="12" fillId="5" borderId="7" xfId="0" applyFont="1" applyFill="1" applyBorder="1" applyAlignment="1">
      <alignment horizontal="center" wrapText="1"/>
    </xf>
    <xf numFmtId="0" fontId="12" fillId="5" borderId="25" xfId="0" applyFont="1" applyFill="1" applyBorder="1" applyAlignment="1">
      <alignment horizontal="center" vertical="center" wrapText="1"/>
    </xf>
    <xf numFmtId="0" fontId="12" fillId="5" borderId="10" xfId="0" applyFont="1" applyFill="1" applyBorder="1" applyAlignment="1">
      <alignment horizontal="center" vertical="center"/>
    </xf>
    <xf numFmtId="0" fontId="12" fillId="5" borderId="65" xfId="0" applyFont="1" applyFill="1" applyBorder="1" applyAlignment="1">
      <alignment horizontal="center" vertical="center"/>
    </xf>
    <xf numFmtId="165" fontId="0" fillId="0" borderId="0" xfId="0" applyNumberFormat="1" applyBorder="1"/>
    <xf numFmtId="10" fontId="0" fillId="0" borderId="4" xfId="0" applyNumberFormat="1" applyBorder="1" applyAlignment="1">
      <alignment horizontal="center"/>
    </xf>
    <xf numFmtId="10" fontId="0" fillId="4" borderId="4" xfId="0" applyNumberFormat="1" applyFill="1" applyBorder="1" applyAlignment="1">
      <alignment horizontal="center"/>
    </xf>
    <xf numFmtId="10" fontId="0" fillId="4" borderId="5" xfId="0" applyNumberFormat="1" applyFill="1" applyBorder="1" applyAlignment="1">
      <alignment horizontal="center"/>
    </xf>
    <xf numFmtId="0" fontId="12" fillId="5" borderId="65" xfId="0" applyFont="1" applyFill="1" applyBorder="1"/>
    <xf numFmtId="0" fontId="12" fillId="5" borderId="47" xfId="0" applyFont="1" applyFill="1" applyBorder="1" applyAlignment="1">
      <alignment horizontal="center"/>
    </xf>
    <xf numFmtId="0" fontId="0" fillId="0" borderId="2" xfId="0" applyBorder="1" applyAlignment="1">
      <alignment vertical="center"/>
    </xf>
    <xf numFmtId="0" fontId="14" fillId="5" borderId="6" xfId="0" applyFont="1" applyFill="1" applyBorder="1" applyAlignment="1">
      <alignment vertical="center"/>
    </xf>
    <xf numFmtId="0" fontId="12" fillId="5" borderId="25" xfId="0" applyFont="1" applyFill="1" applyBorder="1" applyAlignment="1">
      <alignment horizontal="center"/>
    </xf>
    <xf numFmtId="174" fontId="15" fillId="0" borderId="5" xfId="0" applyNumberFormat="1" applyFont="1" applyFill="1" applyBorder="1" applyAlignment="1">
      <alignment horizontal="left"/>
    </xf>
    <xf numFmtId="41" fontId="15" fillId="0" borderId="2" xfId="0" applyNumberFormat="1" applyFont="1" applyFill="1" applyBorder="1"/>
    <xf numFmtId="41" fontId="15" fillId="0" borderId="5" xfId="0" applyNumberFormat="1" applyFont="1" applyFill="1" applyBorder="1"/>
    <xf numFmtId="0" fontId="12" fillId="5" borderId="9" xfId="0" applyFont="1" applyFill="1" applyBorder="1" applyAlignment="1"/>
    <xf numFmtId="0" fontId="0" fillId="0" borderId="0" xfId="0" applyFill="1" applyBorder="1" applyAlignment="1">
      <alignment wrapText="1"/>
    </xf>
    <xf numFmtId="0" fontId="12" fillId="0" borderId="0" xfId="0" applyFont="1" applyFill="1" applyBorder="1" applyAlignment="1">
      <alignment vertical="center"/>
    </xf>
    <xf numFmtId="0" fontId="0" fillId="0" borderId="0" xfId="0" applyFill="1" applyBorder="1" applyAlignment="1">
      <alignment horizontal="center" vertical="center"/>
    </xf>
    <xf numFmtId="173" fontId="12" fillId="0" borderId="0" xfId="0" applyNumberFormat="1" applyFont="1" applyFill="1" applyBorder="1" applyAlignment="1">
      <alignment horizontal="center" vertical="center"/>
    </xf>
    <xf numFmtId="172" fontId="12" fillId="0" borderId="0" xfId="0" applyNumberFormat="1" applyFont="1" applyFill="1" applyBorder="1" applyAlignment="1">
      <alignment horizontal="center" vertical="center"/>
    </xf>
    <xf numFmtId="10" fontId="12" fillId="0" borderId="0" xfId="0" applyNumberFormat="1" applyFont="1" applyFill="1" applyBorder="1" applyAlignment="1">
      <alignment horizontal="center" vertical="center"/>
    </xf>
    <xf numFmtId="0" fontId="0" fillId="0" borderId="0" xfId="0" applyFill="1" applyBorder="1" applyAlignment="1">
      <alignment vertical="center"/>
    </xf>
    <xf numFmtId="0" fontId="0" fillId="0" borderId="0" xfId="0" quotePrefix="1" applyFill="1" applyBorder="1" applyAlignment="1">
      <alignment vertical="center"/>
    </xf>
    <xf numFmtId="0" fontId="15" fillId="0" borderId="0" xfId="0" applyFont="1" applyFill="1" applyBorder="1" applyAlignment="1">
      <alignment horizontal="justify" vertical="center"/>
    </xf>
    <xf numFmtId="0" fontId="6" fillId="0" borderId="0" xfId="0" applyFont="1" applyFill="1" applyBorder="1" applyAlignment="1">
      <alignment vertical="center"/>
    </xf>
    <xf numFmtId="0" fontId="6" fillId="0" borderId="4" xfId="0" applyFont="1" applyFill="1" applyBorder="1" applyAlignment="1" applyProtection="1">
      <alignment vertical="center"/>
    </xf>
    <xf numFmtId="0" fontId="12" fillId="5" borderId="55" xfId="0" applyFont="1" applyFill="1" applyBorder="1" applyAlignment="1" applyProtection="1">
      <alignment vertical="center"/>
    </xf>
    <xf numFmtId="0" fontId="2" fillId="0" borderId="0" xfId="0" quotePrefix="1" applyFont="1" applyFill="1" applyBorder="1" applyAlignment="1">
      <alignment vertical="center"/>
    </xf>
    <xf numFmtId="0" fontId="0" fillId="0" borderId="0" xfId="0" quotePrefix="1" applyFill="1" applyBorder="1" applyAlignment="1">
      <alignment horizontal="center" vertical="center"/>
    </xf>
    <xf numFmtId="0" fontId="14" fillId="5" borderId="7" xfId="0" applyFont="1" applyFill="1" applyBorder="1" applyAlignment="1">
      <alignment horizontal="center" vertical="center"/>
    </xf>
    <xf numFmtId="0" fontId="7" fillId="0" borderId="0" xfId="0" applyFont="1" applyFill="1" applyBorder="1" applyAlignment="1" applyProtection="1">
      <alignment vertical="top"/>
    </xf>
    <xf numFmtId="0" fontId="10" fillId="0" borderId="0" xfId="0" applyFont="1" applyFill="1" applyAlignment="1">
      <alignment vertical="top" wrapText="1"/>
    </xf>
    <xf numFmtId="0" fontId="41" fillId="0" borderId="0" xfId="0" applyFont="1" applyAlignment="1">
      <alignment horizontal="left"/>
    </xf>
    <xf numFmtId="0" fontId="10" fillId="0" borderId="3" xfId="0" applyFont="1" applyFill="1" applyBorder="1" applyAlignment="1">
      <alignment vertical="top" wrapText="1"/>
    </xf>
    <xf numFmtId="0" fontId="0" fillId="0" borderId="3" xfId="0" applyFill="1" applyBorder="1" applyAlignment="1"/>
    <xf numFmtId="0" fontId="0" fillId="0" borderId="1" xfId="0" applyFill="1" applyBorder="1" applyAlignment="1"/>
    <xf numFmtId="0" fontId="0" fillId="0" borderId="2" xfId="0" applyFill="1" applyBorder="1" applyAlignment="1"/>
    <xf numFmtId="0" fontId="15" fillId="0" borderId="3" xfId="0" applyFont="1" applyFill="1" applyBorder="1" applyAlignment="1" applyProtection="1">
      <alignment vertical="top"/>
    </xf>
    <xf numFmtId="0" fontId="6" fillId="0" borderId="3" xfId="0" applyFont="1" applyFill="1" applyBorder="1"/>
    <xf numFmtId="0" fontId="0" fillId="4" borderId="0" xfId="0" applyFill="1"/>
    <xf numFmtId="0" fontId="10" fillId="4" borderId="0" xfId="0" applyFont="1" applyFill="1" applyAlignment="1">
      <alignment vertical="top" wrapText="1"/>
    </xf>
    <xf numFmtId="0" fontId="14" fillId="5" borderId="6" xfId="0" applyFont="1" applyFill="1" applyBorder="1"/>
    <xf numFmtId="0" fontId="14" fillId="5" borderId="9" xfId="0" applyFont="1" applyFill="1" applyBorder="1"/>
    <xf numFmtId="0" fontId="42" fillId="5" borderId="23" xfId="0" applyFont="1" applyFill="1" applyBorder="1" applyAlignment="1">
      <alignment vertical="top" wrapText="1"/>
    </xf>
    <xf numFmtId="0" fontId="12" fillId="5" borderId="23" xfId="0" applyFont="1" applyFill="1" applyBorder="1" applyAlignment="1"/>
    <xf numFmtId="0" fontId="0" fillId="0" borderId="0" xfId="0" quotePrefix="1" applyFill="1" applyAlignment="1"/>
    <xf numFmtId="0" fontId="42" fillId="5" borderId="9" xfId="0" applyFont="1" applyFill="1" applyBorder="1" applyAlignment="1">
      <alignment vertical="top" wrapText="1"/>
    </xf>
    <xf numFmtId="0" fontId="0" fillId="0" borderId="20" xfId="0" applyFill="1" applyBorder="1"/>
    <xf numFmtId="0" fontId="14" fillId="5" borderId="24" xfId="0" applyFont="1" applyFill="1" applyBorder="1"/>
    <xf numFmtId="0" fontId="14" fillId="5" borderId="3" xfId="0" applyFont="1" applyFill="1" applyBorder="1"/>
    <xf numFmtId="0" fontId="42" fillId="5" borderId="58" xfId="0" applyFont="1" applyFill="1" applyBorder="1" applyAlignment="1">
      <alignment vertical="top" wrapText="1"/>
    </xf>
    <xf numFmtId="0" fontId="14" fillId="5" borderId="66" xfId="0" applyFont="1" applyFill="1" applyBorder="1"/>
    <xf numFmtId="0" fontId="42" fillId="5" borderId="56" xfId="0" applyFont="1" applyFill="1" applyBorder="1" applyAlignment="1">
      <alignment vertical="top" wrapText="1"/>
    </xf>
    <xf numFmtId="0" fontId="14" fillId="0" borderId="0" xfId="0" applyFont="1" applyFill="1" applyBorder="1"/>
    <xf numFmtId="0" fontId="42" fillId="0" borderId="37" xfId="0" applyFont="1" applyFill="1" applyBorder="1" applyAlignment="1">
      <alignment vertical="top" wrapText="1"/>
    </xf>
    <xf numFmtId="0" fontId="42" fillId="5" borderId="25" xfId="0" applyFont="1" applyFill="1" applyBorder="1" applyAlignment="1">
      <alignment vertical="top" wrapText="1"/>
    </xf>
    <xf numFmtId="0" fontId="14" fillId="0" borderId="20" xfId="0" applyFont="1" applyFill="1" applyBorder="1"/>
    <xf numFmtId="0" fontId="0" fillId="0" borderId="0" xfId="0" quotePrefix="1" applyBorder="1" applyAlignment="1">
      <alignment horizontal="right"/>
    </xf>
    <xf numFmtId="0" fontId="43" fillId="0" borderId="0" xfId="0" applyFont="1" applyAlignment="1">
      <alignment horizontal="center" vertical="center" wrapText="1"/>
    </xf>
    <xf numFmtId="0" fontId="0" fillId="0" borderId="4" xfId="0" applyBorder="1" applyAlignment="1">
      <alignment horizontal="center" wrapText="1"/>
    </xf>
    <xf numFmtId="0" fontId="0" fillId="4" borderId="4" xfId="0" applyFill="1" applyBorder="1" applyAlignment="1">
      <alignment horizontal="center" wrapText="1"/>
    </xf>
    <xf numFmtId="0" fontId="0" fillId="4" borderId="5" xfId="0" applyFill="1" applyBorder="1" applyAlignment="1">
      <alignment horizontal="center" wrapText="1"/>
    </xf>
    <xf numFmtId="0" fontId="12" fillId="5" borderId="55" xfId="0" applyFont="1" applyFill="1" applyBorder="1" applyAlignment="1">
      <alignment horizontal="center" vertical="center" wrapText="1"/>
    </xf>
    <xf numFmtId="0" fontId="0" fillId="4" borderId="4" xfId="0" quotePrefix="1" applyFill="1" applyBorder="1" applyAlignment="1">
      <alignment horizontal="center"/>
    </xf>
    <xf numFmtId="0" fontId="2" fillId="0" borderId="4" xfId="0" applyFont="1" applyBorder="1" applyAlignment="1">
      <alignment horizontal="center"/>
    </xf>
    <xf numFmtId="0" fontId="0" fillId="4" borderId="5" xfId="0" applyFill="1" applyBorder="1" applyAlignment="1">
      <alignment wrapText="1"/>
    </xf>
    <xf numFmtId="0" fontId="14" fillId="5" borderId="67" xfId="0" applyFont="1" applyFill="1" applyBorder="1"/>
    <xf numFmtId="0" fontId="42" fillId="5" borderId="68" xfId="0" applyFont="1" applyFill="1" applyBorder="1" applyAlignment="1">
      <alignment vertical="top" wrapText="1"/>
    </xf>
    <xf numFmtId="0" fontId="7" fillId="3" borderId="0" xfId="0" applyFont="1" applyFill="1" applyBorder="1" applyAlignment="1" applyProtection="1">
      <alignment vertical="top" wrapText="1"/>
    </xf>
    <xf numFmtId="0" fontId="10" fillId="3" borderId="0" xfId="0" applyFont="1" applyFill="1" applyAlignment="1">
      <alignment vertical="top" wrapText="1"/>
    </xf>
    <xf numFmtId="0" fontId="0" fillId="0" borderId="1" xfId="0" quotePrefix="1" applyBorder="1"/>
    <xf numFmtId="0" fontId="0" fillId="0" borderId="2" xfId="0" quotePrefix="1" applyBorder="1"/>
    <xf numFmtId="0" fontId="0" fillId="8" borderId="0" xfId="0" applyFill="1" applyBorder="1"/>
    <xf numFmtId="0" fontId="6" fillId="0" borderId="0" xfId="0" quotePrefix="1" applyFont="1" applyFill="1" applyAlignment="1"/>
    <xf numFmtId="0" fontId="6" fillId="0" borderId="0" xfId="0" applyFont="1" applyFill="1" applyBorder="1"/>
    <xf numFmtId="0" fontId="10" fillId="0" borderId="0" xfId="0" applyFont="1" applyFill="1" applyBorder="1" applyAlignment="1">
      <alignment vertical="top" wrapText="1"/>
    </xf>
    <xf numFmtId="0" fontId="6" fillId="4" borderId="4" xfId="0" quotePrefix="1" applyFont="1" applyFill="1" applyBorder="1" applyAlignment="1">
      <alignment horizontal="center"/>
    </xf>
    <xf numFmtId="0" fontId="6" fillId="0" borderId="0" xfId="0" quotePrefix="1" applyFont="1" applyAlignment="1">
      <alignment vertical="center"/>
    </xf>
    <xf numFmtId="0" fontId="6" fillId="0" borderId="0" xfId="0" quotePrefix="1" applyFont="1"/>
    <xf numFmtId="0" fontId="6" fillId="0" borderId="0" xfId="0" quotePrefix="1" applyFont="1" applyFill="1" applyAlignment="1">
      <alignment horizontal="left"/>
    </xf>
    <xf numFmtId="0" fontId="12" fillId="5" borderId="77" xfId="0" applyFont="1" applyFill="1" applyBorder="1" applyAlignment="1">
      <alignment horizontal="center" vertical="center" wrapText="1"/>
    </xf>
    <xf numFmtId="164" fontId="0" fillId="0" borderId="78" xfId="0" applyNumberFormat="1" applyBorder="1" applyAlignment="1">
      <alignment horizontal="center"/>
    </xf>
    <xf numFmtId="164" fontId="0" fillId="4" borderId="78" xfId="0" applyNumberFormat="1" applyFill="1" applyBorder="1" applyAlignment="1">
      <alignment horizontal="center"/>
    </xf>
    <xf numFmtId="164" fontId="0" fillId="4" borderId="79" xfId="0" applyNumberFormat="1" applyFill="1" applyBorder="1" applyAlignment="1">
      <alignment horizontal="center"/>
    </xf>
    <xf numFmtId="0" fontId="15" fillId="0" borderId="0" xfId="0" applyFont="1"/>
    <xf numFmtId="0" fontId="24" fillId="0" borderId="0" xfId="0" applyFont="1" applyFill="1" applyBorder="1" applyAlignment="1" applyProtection="1">
      <alignment vertical="top"/>
    </xf>
    <xf numFmtId="0" fontId="0" fillId="0" borderId="0" xfId="0" applyFill="1" applyAlignment="1"/>
    <xf numFmtId="0" fontId="0" fillId="0" borderId="80" xfId="0" applyBorder="1"/>
    <xf numFmtId="0" fontId="1" fillId="0" borderId="0" xfId="0" quotePrefix="1" applyFont="1" applyAlignment="1">
      <alignment vertical="center"/>
    </xf>
    <xf numFmtId="0" fontId="12" fillId="5" borderId="70" xfId="0" applyFont="1" applyFill="1" applyBorder="1" applyAlignment="1">
      <alignment horizontal="center"/>
    </xf>
    <xf numFmtId="0" fontId="12" fillId="5" borderId="71" xfId="0" applyFont="1" applyFill="1" applyBorder="1" applyAlignment="1">
      <alignment horizontal="center"/>
    </xf>
    <xf numFmtId="0" fontId="9" fillId="3" borderId="0" xfId="0" applyFont="1" applyFill="1" applyBorder="1" applyAlignment="1" applyProtection="1"/>
    <xf numFmtId="0" fontId="0" fillId="0" borderId="0" xfId="0" applyAlignment="1"/>
    <xf numFmtId="0" fontId="7" fillId="3" borderId="0" xfId="0" applyFont="1" applyFill="1" applyBorder="1" applyAlignment="1" applyProtection="1"/>
    <xf numFmtId="0" fontId="2" fillId="0" borderId="32" xfId="0" applyFont="1" applyBorder="1" applyAlignment="1">
      <alignment horizontal="center" wrapText="1"/>
    </xf>
    <xf numFmtId="0" fontId="0" fillId="0" borderId="20" xfId="0" applyBorder="1" applyAlignment="1">
      <alignment horizontal="center" wrapText="1"/>
    </xf>
    <xf numFmtId="0" fontId="0" fillId="0" borderId="18" xfId="0" applyBorder="1" applyAlignment="1">
      <alignment horizontal="center" wrapText="1"/>
    </xf>
    <xf numFmtId="0" fontId="0" fillId="0" borderId="12" xfId="0" applyBorder="1" applyAlignment="1"/>
    <xf numFmtId="0" fontId="0" fillId="0" borderId="0" xfId="0" applyBorder="1" applyAlignment="1"/>
    <xf numFmtId="0" fontId="0" fillId="0" borderId="1" xfId="0" applyBorder="1" applyAlignment="1"/>
    <xf numFmtId="0" fontId="0" fillId="0" borderId="24" xfId="0" applyBorder="1" applyAlignment="1"/>
    <xf numFmtId="0" fontId="0" fillId="0" borderId="3" xfId="0" applyBorder="1" applyAlignment="1"/>
    <xf numFmtId="0" fontId="0" fillId="0" borderId="2" xfId="0" applyBorder="1" applyAlignment="1"/>
    <xf numFmtId="0" fontId="10" fillId="3" borderId="0" xfId="0" applyFont="1" applyFill="1" applyAlignment="1">
      <alignment vertical="top" wrapText="1"/>
    </xf>
    <xf numFmtId="0" fontId="9" fillId="3" borderId="0" xfId="0" quotePrefix="1" applyFont="1" applyFill="1" applyBorder="1" applyAlignment="1" applyProtection="1">
      <alignment vertical="justify" wrapText="1"/>
    </xf>
    <xf numFmtId="0" fontId="12" fillId="5" borderId="27" xfId="0" applyFont="1" applyFill="1" applyBorder="1" applyAlignment="1">
      <alignment horizontal="center"/>
    </xf>
    <xf numFmtId="0" fontId="0" fillId="0" borderId="25" xfId="0" applyBorder="1" applyAlignment="1"/>
    <xf numFmtId="0" fontId="6" fillId="0" borderId="12" xfId="0" applyFont="1" applyFill="1" applyBorder="1" applyAlignment="1" applyProtection="1">
      <alignment horizontal="center"/>
    </xf>
    <xf numFmtId="0" fontId="6" fillId="4" borderId="12" xfId="0" applyFont="1" applyFill="1" applyBorder="1" applyAlignment="1" applyProtection="1">
      <alignment horizontal="center"/>
    </xf>
    <xf numFmtId="0" fontId="6" fillId="0" borderId="24" xfId="0" applyFont="1" applyFill="1" applyBorder="1" applyAlignment="1" applyProtection="1">
      <alignment horizontal="center"/>
    </xf>
    <xf numFmtId="0" fontId="14" fillId="5" borderId="69" xfId="0" applyFont="1" applyFill="1" applyBorder="1" applyAlignment="1">
      <alignment horizontal="center"/>
    </xf>
    <xf numFmtId="0" fontId="0" fillId="3" borderId="0" xfId="0" applyFill="1" applyAlignment="1"/>
    <xf numFmtId="0" fontId="12" fillId="5" borderId="72" xfId="0" applyFont="1" applyFill="1" applyBorder="1" applyAlignment="1">
      <alignment horizontal="center"/>
    </xf>
    <xf numFmtId="0" fontId="14" fillId="5" borderId="6" xfId="0" applyFont="1" applyFill="1" applyBorder="1" applyAlignment="1">
      <alignment horizontal="center"/>
    </xf>
    <xf numFmtId="0" fontId="0" fillId="5" borderId="25" xfId="0" applyFill="1" applyBorder="1" applyAlignment="1"/>
    <xf numFmtId="0" fontId="0" fillId="0" borderId="12" xfId="0" applyFill="1" applyBorder="1" applyAlignment="1"/>
    <xf numFmtId="0" fontId="0" fillId="0" borderId="0" xfId="0"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2" fillId="0" borderId="0" xfId="0" applyFont="1" applyFill="1" applyBorder="1" applyAlignment="1" applyProtection="1">
      <alignment vertical="center" wrapText="1"/>
    </xf>
    <xf numFmtId="0" fontId="2" fillId="0" borderId="0" xfId="0" applyFont="1" applyAlignment="1">
      <alignment vertical="center" wrapText="1"/>
    </xf>
    <xf numFmtId="0" fontId="12" fillId="5" borderId="49" xfId="0" applyFont="1" applyFill="1" applyBorder="1" applyAlignment="1">
      <alignment vertical="center"/>
    </xf>
    <xf numFmtId="0" fontId="0" fillId="0" borderId="50" xfId="0" applyBorder="1" applyAlignment="1">
      <alignment vertical="center"/>
    </xf>
    <xf numFmtId="0" fontId="12" fillId="5" borderId="12" xfId="0" applyFont="1" applyFill="1" applyBorder="1" applyAlignment="1">
      <alignment vertical="center"/>
    </xf>
    <xf numFmtId="0" fontId="0" fillId="0" borderId="1" xfId="0" applyBorder="1" applyAlignment="1">
      <alignment vertical="center"/>
    </xf>
    <xf numFmtId="0" fontId="12" fillId="5" borderId="51" xfId="0" applyFont="1" applyFill="1" applyBorder="1" applyAlignment="1">
      <alignment vertical="center"/>
    </xf>
    <xf numFmtId="0" fontId="0" fillId="0" borderId="52" xfId="0" applyBorder="1" applyAlignment="1">
      <alignment vertical="center"/>
    </xf>
    <xf numFmtId="0" fontId="0" fillId="0" borderId="0" xfId="0" applyAlignment="1">
      <alignment vertical="top"/>
    </xf>
    <xf numFmtId="0" fontId="2" fillId="0" borderId="0" xfId="0" applyFont="1" applyAlignment="1">
      <alignment horizontal="left" wrapText="1"/>
    </xf>
    <xf numFmtId="0" fontId="2" fillId="0" borderId="0" xfId="0" applyFont="1" applyAlignment="1">
      <alignment horizontal="left"/>
    </xf>
    <xf numFmtId="0" fontId="0" fillId="0" borderId="20" xfId="0" quotePrefix="1" applyBorder="1" applyAlignment="1">
      <alignment vertical="center" wrapText="1"/>
    </xf>
    <xf numFmtId="0" fontId="0" fillId="0" borderId="18" xfId="0" applyBorder="1" applyAlignment="1">
      <alignment vertical="center"/>
    </xf>
    <xf numFmtId="0" fontId="0" fillId="0" borderId="0" xfId="0" applyAlignment="1">
      <alignment vertical="justify"/>
    </xf>
    <xf numFmtId="167" fontId="14" fillId="5" borderId="27" xfId="0" applyNumberFormat="1" applyFont="1" applyFill="1" applyBorder="1" applyAlignment="1">
      <alignment horizontal="center"/>
    </xf>
    <xf numFmtId="167" fontId="15" fillId="0" borderId="9" xfId="0" applyNumberFormat="1" applyFont="1" applyBorder="1" applyAlignment="1">
      <alignment horizontal="center"/>
    </xf>
    <xf numFmtId="167" fontId="15" fillId="0" borderId="25" xfId="0" applyNumberFormat="1" applyFont="1" applyBorder="1" applyAlignment="1">
      <alignment horizontal="center"/>
    </xf>
    <xf numFmtId="0" fontId="0" fillId="0" borderId="32" xfId="0" applyBorder="1" applyAlignment="1">
      <alignment vertical="center" wrapText="1"/>
    </xf>
    <xf numFmtId="0" fontId="2" fillId="0" borderId="0" xfId="0" applyFont="1" applyFill="1" applyBorder="1" applyAlignment="1" applyProtection="1">
      <alignment wrapText="1"/>
    </xf>
    <xf numFmtId="0" fontId="2" fillId="0" borderId="0" xfId="0" applyFont="1" applyAlignment="1">
      <alignment wrapText="1"/>
    </xf>
    <xf numFmtId="0" fontId="0" fillId="0" borderId="0" xfId="0" quotePrefix="1" applyBorder="1" applyAlignment="1">
      <alignment vertical="center" wrapText="1"/>
    </xf>
    <xf numFmtId="0" fontId="0" fillId="0" borderId="0" xfId="0" applyFill="1" applyAlignment="1">
      <alignment wrapText="1"/>
    </xf>
    <xf numFmtId="0" fontId="0" fillId="0" borderId="0" xfId="0" applyFill="1" applyAlignment="1"/>
    <xf numFmtId="0" fontId="9" fillId="3" borderId="0" xfId="0" quotePrefix="1" applyFont="1" applyFill="1" applyBorder="1" applyAlignment="1" applyProtection="1">
      <alignment vertical="center" wrapText="1"/>
    </xf>
    <xf numFmtId="0" fontId="0" fillId="0" borderId="0" xfId="0" applyAlignment="1">
      <alignment vertical="center"/>
    </xf>
    <xf numFmtId="0" fontId="12" fillId="5" borderId="6" xfId="0" applyFont="1" applyFill="1" applyBorder="1" applyAlignment="1">
      <alignment horizontal="center" wrapText="1"/>
    </xf>
    <xf numFmtId="0" fontId="12" fillId="5" borderId="9" xfId="0" applyFont="1" applyFill="1" applyBorder="1" applyAlignment="1">
      <alignment horizontal="center" wrapText="1"/>
    </xf>
    <xf numFmtId="0" fontId="12" fillId="5" borderId="9" xfId="0" applyFont="1" applyFill="1" applyBorder="1" applyAlignment="1"/>
    <xf numFmtId="0" fontId="12" fillId="5" borderId="25" xfId="0" applyFont="1" applyFill="1" applyBorder="1" applyAlignment="1"/>
    <xf numFmtId="0" fontId="12" fillId="5" borderId="0" xfId="0" applyFont="1" applyFill="1" applyAlignment="1"/>
    <xf numFmtId="1" fontId="26" fillId="3" borderId="0" xfId="1" applyNumberFormat="1" applyFont="1" applyFill="1" applyBorder="1" applyAlignment="1" applyProtection="1">
      <alignment horizontal="left"/>
    </xf>
    <xf numFmtId="0" fontId="0" fillId="0" borderId="0" xfId="0" applyAlignment="1">
      <alignment horizontal="left"/>
    </xf>
    <xf numFmtId="0" fontId="2" fillId="0" borderId="6" xfId="0" applyFont="1" applyBorder="1" applyAlignment="1">
      <alignment horizontal="justify"/>
    </xf>
    <xf numFmtId="0" fontId="0" fillId="0" borderId="0" xfId="0" applyAlignment="1">
      <alignment wrapText="1"/>
    </xf>
    <xf numFmtId="0" fontId="40" fillId="0" borderId="6" xfId="0" applyFont="1" applyFill="1" applyBorder="1" applyAlignment="1">
      <alignment vertical="center"/>
    </xf>
    <xf numFmtId="0" fontId="40" fillId="0" borderId="25" xfId="0" applyFont="1" applyFill="1" applyBorder="1" applyAlignment="1">
      <alignment vertical="center"/>
    </xf>
    <xf numFmtId="175" fontId="14" fillId="5" borderId="3" xfId="0" applyNumberFormat="1" applyFont="1" applyFill="1" applyBorder="1" applyAlignment="1">
      <alignment vertical="center"/>
    </xf>
    <xf numFmtId="175" fontId="14" fillId="5" borderId="2" xfId="0" applyNumberFormat="1" applyFont="1" applyFill="1" applyBorder="1" applyAlignment="1">
      <alignment vertical="center"/>
    </xf>
    <xf numFmtId="0" fontId="2" fillId="0" borderId="9" xfId="0" applyFont="1" applyBorder="1" applyAlignment="1">
      <alignment horizontal="justify"/>
    </xf>
    <xf numFmtId="1" fontId="29" fillId="3" borderId="0" xfId="1" applyNumberFormat="1" applyFont="1" applyFill="1" applyBorder="1" applyAlignment="1" applyProtection="1">
      <alignment horizontal="left"/>
    </xf>
    <xf numFmtId="0" fontId="29" fillId="3" borderId="0" xfId="1" applyFont="1" applyFill="1" applyAlignment="1" applyProtection="1">
      <alignment horizontal="left"/>
    </xf>
    <xf numFmtId="0" fontId="12" fillId="5" borderId="49" xfId="0" applyFont="1" applyFill="1" applyBorder="1" applyAlignment="1">
      <alignment horizontal="left"/>
    </xf>
    <xf numFmtId="0" fontId="0" fillId="0" borderId="66" xfId="0" applyBorder="1" applyAlignment="1"/>
    <xf numFmtId="0" fontId="12" fillId="5" borderId="24" xfId="0" applyFont="1" applyFill="1" applyBorder="1" applyAlignment="1">
      <alignment horizontal="left"/>
    </xf>
    <xf numFmtId="1" fontId="14" fillId="5" borderId="69" xfId="0" applyNumberFormat="1" applyFont="1" applyFill="1" applyBorder="1" applyAlignment="1">
      <alignment horizontal="center"/>
    </xf>
    <xf numFmtId="1" fontId="0" fillId="0" borderId="2" xfId="0" applyNumberFormat="1" applyBorder="1" applyAlignment="1"/>
    <xf numFmtId="0" fontId="2" fillId="0" borderId="32" xfId="0" applyFont="1" applyFill="1" applyBorder="1" applyAlignment="1">
      <alignment horizontal="center" wrapText="1"/>
    </xf>
    <xf numFmtId="0" fontId="2" fillId="0" borderId="20" xfId="0" applyFont="1" applyFill="1" applyBorder="1" applyAlignment="1">
      <alignment horizontal="center" wrapText="1"/>
    </xf>
    <xf numFmtId="0" fontId="2" fillId="0" borderId="18" xfId="0" applyFont="1" applyFill="1" applyBorder="1" applyAlignment="1">
      <alignment horizontal="center" wrapText="1"/>
    </xf>
    <xf numFmtId="0" fontId="0" fillId="0" borderId="12" xfId="0" applyFill="1" applyBorder="1" applyAlignment="1">
      <alignment wrapText="1"/>
    </xf>
    <xf numFmtId="0" fontId="0" fillId="0" borderId="0" xfId="0" applyFill="1" applyBorder="1" applyAlignment="1">
      <alignment wrapText="1"/>
    </xf>
    <xf numFmtId="0" fontId="0" fillId="0" borderId="1" xfId="0" applyFill="1" applyBorder="1" applyAlignment="1">
      <alignment wrapText="1"/>
    </xf>
    <xf numFmtId="0" fontId="0" fillId="0" borderId="24" xfId="0" applyFill="1" applyBorder="1" applyAlignment="1">
      <alignment wrapText="1"/>
    </xf>
    <xf numFmtId="0" fontId="0" fillId="0" borderId="3" xfId="0" applyFill="1" applyBorder="1" applyAlignment="1">
      <alignment wrapText="1"/>
    </xf>
    <xf numFmtId="0" fontId="0" fillId="0" borderId="2" xfId="0" applyFill="1" applyBorder="1" applyAlignment="1">
      <alignment wrapText="1"/>
    </xf>
    <xf numFmtId="0" fontId="12" fillId="5" borderId="6" xfId="0" applyFont="1" applyFill="1" applyBorder="1" applyAlignment="1">
      <alignment horizontal="center"/>
    </xf>
    <xf numFmtId="0" fontId="38" fillId="5" borderId="25" xfId="0" applyFont="1" applyFill="1" applyBorder="1" applyAlignment="1">
      <alignment horizontal="center"/>
    </xf>
    <xf numFmtId="164" fontId="14" fillId="5" borderId="69" xfId="0" applyNumberFormat="1" applyFont="1" applyFill="1" applyBorder="1" applyAlignment="1">
      <alignment horizontal="center"/>
    </xf>
    <xf numFmtId="164" fontId="0" fillId="0" borderId="2" xfId="0" applyNumberFormat="1" applyBorder="1" applyAlignment="1"/>
    <xf numFmtId="0" fontId="12" fillId="5" borderId="25" xfId="0" applyFont="1" applyFill="1" applyBorder="1" applyAlignment="1">
      <alignment horizontal="center"/>
    </xf>
    <xf numFmtId="2" fontId="6" fillId="4" borderId="12" xfId="0" applyNumberFormat="1" applyFont="1" applyFill="1" applyBorder="1" applyAlignment="1" applyProtection="1">
      <alignment horizontal="center"/>
    </xf>
    <xf numFmtId="2" fontId="0" fillId="0" borderId="1" xfId="0" applyNumberFormat="1" applyBorder="1" applyAlignment="1"/>
    <xf numFmtId="171" fontId="14" fillId="5" borderId="6" xfId="0" applyNumberFormat="1" applyFont="1" applyFill="1" applyBorder="1" applyAlignment="1">
      <alignment horizontal="center"/>
    </xf>
    <xf numFmtId="171" fontId="0" fillId="0" borderId="25" xfId="0" applyNumberFormat="1" applyBorder="1" applyAlignment="1"/>
    <xf numFmtId="0" fontId="0" fillId="0" borderId="2" xfId="0" applyFill="1" applyBorder="1" applyAlignment="1"/>
    <xf numFmtId="171" fontId="14" fillId="5" borderId="69" xfId="0" applyNumberFormat="1" applyFont="1" applyFill="1" applyBorder="1" applyAlignment="1">
      <alignment horizontal="center"/>
    </xf>
    <xf numFmtId="171" fontId="0" fillId="0" borderId="2" xfId="0" applyNumberFormat="1" applyBorder="1" applyAlignment="1"/>
    <xf numFmtId="171" fontId="6" fillId="0" borderId="21" xfId="0" quotePrefix="1" applyNumberFormat="1" applyFont="1" applyFill="1" applyBorder="1" applyAlignment="1">
      <alignment horizontal="right"/>
    </xf>
    <xf numFmtId="0" fontId="6" fillId="0" borderId="20" xfId="0" applyFont="1" applyBorder="1" applyAlignment="1">
      <alignment horizontal="right"/>
    </xf>
    <xf numFmtId="0" fontId="6" fillId="0" borderId="20" xfId="0" quotePrefix="1" applyFont="1" applyBorder="1" applyAlignment="1">
      <alignment horizontal="right"/>
    </xf>
    <xf numFmtId="0" fontId="0" fillId="0" borderId="20" xfId="0" applyBorder="1" applyAlignment="1"/>
    <xf numFmtId="0" fontId="0" fillId="0" borderId="0" xfId="0" applyAlignment="1">
      <alignment vertical="top" wrapText="1"/>
    </xf>
    <xf numFmtId="169" fontId="14" fillId="5" borderId="69" xfId="0" applyNumberFormat="1" applyFont="1" applyFill="1" applyBorder="1" applyAlignment="1">
      <alignment horizontal="center"/>
    </xf>
    <xf numFmtId="169" fontId="0" fillId="0" borderId="2" xfId="0" applyNumberFormat="1" applyBorder="1" applyAlignment="1"/>
    <xf numFmtId="0" fontId="0" fillId="0" borderId="0" xfId="0" applyFill="1" applyBorder="1" applyAlignment="1">
      <alignment vertical="center" wrapText="1"/>
    </xf>
    <xf numFmtId="0" fontId="12" fillId="5" borderId="72"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20" xfId="0" quotePrefix="1" applyBorder="1" applyAlignment="1">
      <alignment horizontal="right"/>
    </xf>
    <xf numFmtId="0" fontId="0" fillId="0" borderId="20" xfId="0" applyBorder="1" applyAlignment="1">
      <alignment horizontal="right"/>
    </xf>
    <xf numFmtId="2" fontId="14" fillId="5" borderId="27" xfId="0" applyNumberFormat="1" applyFont="1" applyFill="1" applyBorder="1" applyAlignment="1">
      <alignment horizontal="center" vertical="center"/>
    </xf>
    <xf numFmtId="0" fontId="0" fillId="0" borderId="25" xfId="0" applyBorder="1" applyAlignment="1">
      <alignment horizontal="center" vertical="center"/>
    </xf>
    <xf numFmtId="0" fontId="6" fillId="0" borderId="0" xfId="0" applyFont="1" applyAlignment="1">
      <alignment wrapText="1"/>
    </xf>
    <xf numFmtId="169" fontId="14" fillId="5" borderId="73" xfId="0" applyNumberFormat="1" applyFont="1" applyFill="1" applyBorder="1" applyAlignment="1">
      <alignment horizontal="center"/>
    </xf>
    <xf numFmtId="169" fontId="0" fillId="0" borderId="74" xfId="0" applyNumberFormat="1" applyBorder="1" applyAlignment="1"/>
    <xf numFmtId="169" fontId="14" fillId="5" borderId="75" xfId="0" applyNumberFormat="1" applyFont="1" applyFill="1" applyBorder="1" applyAlignment="1">
      <alignment horizontal="center"/>
    </xf>
    <xf numFmtId="169" fontId="0" fillId="0" borderId="76" xfId="0" applyNumberFormat="1" applyBorder="1" applyAlignment="1"/>
    <xf numFmtId="0" fontId="6" fillId="4" borderId="0" xfId="0" applyFont="1" applyFill="1" applyBorder="1" applyAlignment="1" applyProtection="1">
      <alignment horizontal="center"/>
    </xf>
    <xf numFmtId="0" fontId="0" fillId="4" borderId="1" xfId="0" applyFill="1" applyBorder="1" applyAlignment="1">
      <alignment horizontal="center"/>
    </xf>
    <xf numFmtId="0" fontId="1" fillId="4" borderId="0" xfId="0" applyFont="1" applyFill="1"/>
    <xf numFmtId="0" fontId="1" fillId="0" borderId="0" xfId="0" quotePrefix="1" applyFont="1" applyFill="1" applyAlignment="1"/>
  </cellXfs>
  <cellStyles count="5">
    <cellStyle name="Hyperlink" xfId="1" builtinId="8"/>
    <cellStyle name="Komma" xfId="2" builtinId="3"/>
    <cellStyle name="Ohne Wert" xfId="3"/>
    <cellStyle name="Prozent" xfId="4" builtinId="5"/>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ACACA"/>
      <rgbColor rgb="0000FF00"/>
      <rgbColor rgb="007F7F7F"/>
      <rgbColor rgb="00FFFF00"/>
      <rgbColor rgb="00FF00FF"/>
      <rgbColor rgb="0000FFFF"/>
      <rgbColor rgb="00FF0033"/>
      <rgbColor rgb="00EBEBEB"/>
      <rgbColor rgb="00000080"/>
      <rgbColor rgb="00666666"/>
      <rgbColor rgb="00800080"/>
      <rgbColor rgb="00FFA2A4"/>
      <rgbColor rgb="00C0C0C0"/>
      <rgbColor rgb="00B1B1B1"/>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D5D5D5"/>
      <rgbColor rgb="00FF4F53"/>
      <rgbColor rgb="00FFCC00"/>
      <rgbColor rgb="00FF797C"/>
      <rgbColor rgb="00DDDDDD"/>
      <rgbColor rgb="009C9C9C"/>
      <rgbColor rgb="00969696"/>
      <rgbColor rgb="00003366"/>
      <rgbColor rgb="00DC002A"/>
      <rgbColor rgb="00F3F3FB"/>
      <rgbColor rgb="001F3F97"/>
      <rgbColor rgb="00E7E7F7"/>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Beta-Verteilungsfunktion</a:t>
            </a:r>
          </a:p>
        </c:rich>
      </c:tx>
      <c:layout>
        <c:manualLayout>
          <c:xMode val="edge"/>
          <c:yMode val="edge"/>
          <c:x val="0.29979487676976724"/>
          <c:y val="3.8596491228070177E-2"/>
        </c:manualLayout>
      </c:layout>
      <c:overlay val="0"/>
      <c:spPr>
        <a:noFill/>
        <a:ln w="25400">
          <a:noFill/>
        </a:ln>
      </c:spPr>
    </c:title>
    <c:autoTitleDeleted val="0"/>
    <c:plotArea>
      <c:layout>
        <c:manualLayout>
          <c:layoutTarget val="inner"/>
          <c:xMode val="edge"/>
          <c:yMode val="edge"/>
          <c:x val="9.2402556711367337E-2"/>
          <c:y val="0.23157974088452879"/>
          <c:w val="0.85626369219200404"/>
          <c:h val="0.61052840778648498"/>
        </c:manualLayout>
      </c:layout>
      <c:scatterChart>
        <c:scatterStyle val="lineMarker"/>
        <c:varyColors val="0"/>
        <c:ser>
          <c:idx val="0"/>
          <c:order val="0"/>
          <c:spPr>
            <a:ln w="25400">
              <a:solidFill>
                <a:srgbClr val="1F3F97"/>
              </a:solidFill>
              <a:prstDash val="solid"/>
            </a:ln>
          </c:spPr>
          <c:marker>
            <c:symbol val="diamond"/>
            <c:size val="2"/>
            <c:spPr>
              <a:solidFill>
                <a:srgbClr val="000080"/>
              </a:solidFill>
              <a:ln>
                <a:solidFill>
                  <a:srgbClr val="000080"/>
                </a:solidFill>
                <a:prstDash val="solid"/>
              </a:ln>
            </c:spPr>
          </c:marker>
          <c:xVal>
            <c:numRef>
              <c:f>Beta.inv!$B$22:$B$122</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Beta.inv!$C$22:$C$122</c:f>
              <c:numCache>
                <c:formatCode>General</c:formatCode>
                <c:ptCount val="101"/>
                <c:pt idx="0">
                  <c:v>0</c:v>
                </c:pt>
                <c:pt idx="1">
                  <c:v>2.9800000000000025E-4</c:v>
                </c:pt>
                <c:pt idx="2">
                  <c:v>1.1840000000000004E-3</c:v>
                </c:pt>
                <c:pt idx="3">
                  <c:v>2.6459999999999995E-3</c:v>
                </c:pt>
                <c:pt idx="4">
                  <c:v>4.6720000000000025E-3</c:v>
                </c:pt>
                <c:pt idx="5">
                  <c:v>7.2500000000000012E-3</c:v>
                </c:pt>
                <c:pt idx="6">
                  <c:v>1.0367999999999999E-2</c:v>
                </c:pt>
                <c:pt idx="7">
                  <c:v>1.4014000000000006E-2</c:v>
                </c:pt>
                <c:pt idx="8">
                  <c:v>1.8175999999999991E-2</c:v>
                </c:pt>
                <c:pt idx="9">
                  <c:v>2.2841999999999987E-2</c:v>
                </c:pt>
                <c:pt idx="10">
                  <c:v>2.8000000000000011E-2</c:v>
                </c:pt>
                <c:pt idx="11">
                  <c:v>3.3638000000000001E-2</c:v>
                </c:pt>
                <c:pt idx="12">
                  <c:v>3.9744000000000002E-2</c:v>
                </c:pt>
                <c:pt idx="13">
                  <c:v>4.6306E-2</c:v>
                </c:pt>
                <c:pt idx="14">
                  <c:v>5.3311999999999998E-2</c:v>
                </c:pt>
                <c:pt idx="15">
                  <c:v>6.0750000000000005E-2</c:v>
                </c:pt>
                <c:pt idx="16">
                  <c:v>6.8607999999999975E-2</c:v>
                </c:pt>
                <c:pt idx="17">
                  <c:v>7.6874000000000012E-2</c:v>
                </c:pt>
                <c:pt idx="18">
                  <c:v>8.5536000000000015E-2</c:v>
                </c:pt>
                <c:pt idx="19">
                  <c:v>9.4581999999999999E-2</c:v>
                </c:pt>
                <c:pt idx="20">
                  <c:v>0.10400000000000002</c:v>
                </c:pt>
                <c:pt idx="21">
                  <c:v>0.113778</c:v>
                </c:pt>
                <c:pt idx="22">
                  <c:v>0.12390399999999999</c:v>
                </c:pt>
                <c:pt idx="23">
                  <c:v>0.13436599999999999</c:v>
                </c:pt>
                <c:pt idx="24">
                  <c:v>0.14515199999999995</c:v>
                </c:pt>
                <c:pt idx="25">
                  <c:v>0.15625</c:v>
                </c:pt>
                <c:pt idx="26">
                  <c:v>0.16764800000000002</c:v>
                </c:pt>
                <c:pt idx="27">
                  <c:v>0.17933399999999999</c:v>
                </c:pt>
                <c:pt idx="28">
                  <c:v>0.19129600000000005</c:v>
                </c:pt>
                <c:pt idx="29">
                  <c:v>0.20352199999999993</c:v>
                </c:pt>
                <c:pt idx="30">
                  <c:v>0.21599999999999994</c:v>
                </c:pt>
                <c:pt idx="31">
                  <c:v>0.228718</c:v>
                </c:pt>
                <c:pt idx="32">
                  <c:v>0.24166399999999996</c:v>
                </c:pt>
                <c:pt idx="33">
                  <c:v>0.254826</c:v>
                </c:pt>
                <c:pt idx="34">
                  <c:v>0.2681920000000001</c:v>
                </c:pt>
                <c:pt idx="35">
                  <c:v>0.28174999999999994</c:v>
                </c:pt>
                <c:pt idx="36">
                  <c:v>0.29548799999999997</c:v>
                </c:pt>
                <c:pt idx="37">
                  <c:v>0.309394</c:v>
                </c:pt>
                <c:pt idx="38">
                  <c:v>0.32345599999999997</c:v>
                </c:pt>
                <c:pt idx="39">
                  <c:v>0.33766200000000002</c:v>
                </c:pt>
                <c:pt idx="40">
                  <c:v>0.35199999999999998</c:v>
                </c:pt>
                <c:pt idx="41">
                  <c:v>0.36645799999999995</c:v>
                </c:pt>
                <c:pt idx="42">
                  <c:v>0.38102399999999992</c:v>
                </c:pt>
                <c:pt idx="43">
                  <c:v>0.39568599999999998</c:v>
                </c:pt>
                <c:pt idx="44">
                  <c:v>0.41043200000000002</c:v>
                </c:pt>
                <c:pt idx="45">
                  <c:v>0.42525000000000002</c:v>
                </c:pt>
                <c:pt idx="46">
                  <c:v>0.44012800000000007</c:v>
                </c:pt>
                <c:pt idx="47">
                  <c:v>0.45505399999999996</c:v>
                </c:pt>
                <c:pt idx="48">
                  <c:v>0.47001599999999999</c:v>
                </c:pt>
                <c:pt idx="49">
                  <c:v>0.48500199999999999</c:v>
                </c:pt>
                <c:pt idx="50">
                  <c:v>0.5</c:v>
                </c:pt>
                <c:pt idx="51">
                  <c:v>0.51499800000000007</c:v>
                </c:pt>
                <c:pt idx="52">
                  <c:v>0.52998400000000001</c:v>
                </c:pt>
                <c:pt idx="53">
                  <c:v>0.54494600000000004</c:v>
                </c:pt>
                <c:pt idx="54">
                  <c:v>0.55987200000000004</c:v>
                </c:pt>
                <c:pt idx="55">
                  <c:v>0.57475000000000009</c:v>
                </c:pt>
                <c:pt idx="56">
                  <c:v>0.58956800000000009</c:v>
                </c:pt>
                <c:pt idx="57">
                  <c:v>0.60431399999999991</c:v>
                </c:pt>
                <c:pt idx="58">
                  <c:v>0.61897599999999997</c:v>
                </c:pt>
                <c:pt idx="59">
                  <c:v>0.63354200000000005</c:v>
                </c:pt>
                <c:pt idx="60">
                  <c:v>0.64800000000000002</c:v>
                </c:pt>
                <c:pt idx="61">
                  <c:v>0.66233799999999998</c:v>
                </c:pt>
                <c:pt idx="62">
                  <c:v>0.67654400000000003</c:v>
                </c:pt>
                <c:pt idx="63">
                  <c:v>0.69060600000000005</c:v>
                </c:pt>
                <c:pt idx="64">
                  <c:v>0.70451200000000003</c:v>
                </c:pt>
                <c:pt idx="65">
                  <c:v>0.71825000000000006</c:v>
                </c:pt>
                <c:pt idx="66">
                  <c:v>0.73180800000000001</c:v>
                </c:pt>
                <c:pt idx="67">
                  <c:v>0.74517400000000011</c:v>
                </c:pt>
                <c:pt idx="68">
                  <c:v>0.75833600000000012</c:v>
                </c:pt>
                <c:pt idx="69">
                  <c:v>0.77128199999999991</c:v>
                </c:pt>
                <c:pt idx="70">
                  <c:v>0.78400000000000003</c:v>
                </c:pt>
                <c:pt idx="71">
                  <c:v>0.79647799999999991</c:v>
                </c:pt>
                <c:pt idx="72">
                  <c:v>0.80870399999999998</c:v>
                </c:pt>
                <c:pt idx="73">
                  <c:v>0.82066600000000001</c:v>
                </c:pt>
                <c:pt idx="74">
                  <c:v>0.83235199999999998</c:v>
                </c:pt>
                <c:pt idx="75">
                  <c:v>0.84375</c:v>
                </c:pt>
                <c:pt idx="76">
                  <c:v>0.85484800000000005</c:v>
                </c:pt>
                <c:pt idx="77">
                  <c:v>0.86563400000000001</c:v>
                </c:pt>
                <c:pt idx="78">
                  <c:v>0.87609599999999999</c:v>
                </c:pt>
                <c:pt idx="79">
                  <c:v>0.88622200000000007</c:v>
                </c:pt>
                <c:pt idx="80">
                  <c:v>0.89600000000000002</c:v>
                </c:pt>
                <c:pt idx="81">
                  <c:v>0.90541800000000006</c:v>
                </c:pt>
                <c:pt idx="82">
                  <c:v>0.91446399999999994</c:v>
                </c:pt>
                <c:pt idx="83">
                  <c:v>0.92312599999999989</c:v>
                </c:pt>
                <c:pt idx="84">
                  <c:v>0.931392</c:v>
                </c:pt>
                <c:pt idx="85">
                  <c:v>0.93924999999999992</c:v>
                </c:pt>
                <c:pt idx="86">
                  <c:v>0.94668799999999997</c:v>
                </c:pt>
                <c:pt idx="87">
                  <c:v>0.95369400000000004</c:v>
                </c:pt>
                <c:pt idx="88">
                  <c:v>0.960256</c:v>
                </c:pt>
                <c:pt idx="89">
                  <c:v>0.96636199999999994</c:v>
                </c:pt>
                <c:pt idx="90">
                  <c:v>0.97199999999999998</c:v>
                </c:pt>
                <c:pt idx="91">
                  <c:v>0.97715799999999997</c:v>
                </c:pt>
                <c:pt idx="92">
                  <c:v>0.98182400000000003</c:v>
                </c:pt>
                <c:pt idx="93">
                  <c:v>0.98598600000000003</c:v>
                </c:pt>
                <c:pt idx="94">
                  <c:v>0.98963199999999996</c:v>
                </c:pt>
                <c:pt idx="95">
                  <c:v>0.99275000000000002</c:v>
                </c:pt>
                <c:pt idx="96">
                  <c:v>0.99532799999999999</c:v>
                </c:pt>
                <c:pt idx="97">
                  <c:v>0.99735400000000007</c:v>
                </c:pt>
                <c:pt idx="98">
                  <c:v>0.99881599999999993</c:v>
                </c:pt>
                <c:pt idx="99">
                  <c:v>0.99970199999999998</c:v>
                </c:pt>
                <c:pt idx="100">
                  <c:v>1</c:v>
                </c:pt>
              </c:numCache>
            </c:numRef>
          </c:yVal>
          <c:smooth val="0"/>
        </c:ser>
        <c:dLbls>
          <c:showLegendKey val="0"/>
          <c:showVal val="0"/>
          <c:showCatName val="0"/>
          <c:showSerName val="0"/>
          <c:showPercent val="0"/>
          <c:showBubbleSize val="0"/>
        </c:dLbls>
        <c:axId val="86443520"/>
        <c:axId val="86495616"/>
      </c:scatterChart>
      <c:valAx>
        <c:axId val="86443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6495616"/>
        <c:crosses val="autoZero"/>
        <c:crossBetween val="midCat"/>
        <c:majorUnit val="0.1"/>
      </c:valAx>
      <c:valAx>
        <c:axId val="864956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6443520"/>
        <c:crosses val="autoZero"/>
        <c:crossBetween val="midCat"/>
      </c:valAx>
      <c:spPr>
        <a:solidFill>
          <a:srgbClr val="F3F3FB"/>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Beta-Dichtefunktion</a:t>
            </a:r>
          </a:p>
        </c:rich>
      </c:tx>
      <c:layout>
        <c:manualLayout>
          <c:xMode val="edge"/>
          <c:yMode val="edge"/>
          <c:x val="0.34756161577363803"/>
          <c:y val="1.893939393939394E-2"/>
        </c:manualLayout>
      </c:layout>
      <c:overlay val="0"/>
      <c:spPr>
        <a:noFill/>
        <a:ln w="25400">
          <a:noFill/>
        </a:ln>
      </c:spPr>
    </c:title>
    <c:autoTitleDeleted val="0"/>
    <c:plotArea>
      <c:layout>
        <c:manualLayout>
          <c:layoutTarget val="inner"/>
          <c:xMode val="edge"/>
          <c:yMode val="edge"/>
          <c:x val="0.10569126669538137"/>
          <c:y val="0.21969778238111973"/>
          <c:w val="0.74390391558672264"/>
          <c:h val="0.62500231194628886"/>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Beta.inv!$B$22:$B$122</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Beta.inv!$D$23:$D$122</c:f>
              <c:numCache>
                <c:formatCode>General</c:formatCode>
                <c:ptCount val="100"/>
                <c:pt idx="0">
                  <c:v>2.9800000000000025E-4</c:v>
                </c:pt>
                <c:pt idx="1">
                  <c:v>8.8600000000000007E-4</c:v>
                </c:pt>
                <c:pt idx="2">
                  <c:v>1.4619999999999991E-3</c:v>
                </c:pt>
                <c:pt idx="3">
                  <c:v>2.0260000000000031E-3</c:v>
                </c:pt>
                <c:pt idx="4">
                  <c:v>2.5779999999999987E-3</c:v>
                </c:pt>
                <c:pt idx="5">
                  <c:v>3.1179999999999975E-3</c:v>
                </c:pt>
                <c:pt idx="6">
                  <c:v>3.6460000000000069E-3</c:v>
                </c:pt>
                <c:pt idx="7">
                  <c:v>4.1619999999999852E-3</c:v>
                </c:pt>
                <c:pt idx="8">
                  <c:v>4.6659999999999965E-3</c:v>
                </c:pt>
                <c:pt idx="9">
                  <c:v>5.1580000000000237E-3</c:v>
                </c:pt>
                <c:pt idx="10">
                  <c:v>5.6379999999999902E-3</c:v>
                </c:pt>
                <c:pt idx="11">
                  <c:v>6.1060000000000003E-3</c:v>
                </c:pt>
                <c:pt idx="12">
                  <c:v>6.5619999999999984E-3</c:v>
                </c:pt>
                <c:pt idx="13">
                  <c:v>7.0059999999999983E-3</c:v>
                </c:pt>
                <c:pt idx="14">
                  <c:v>7.4380000000000071E-3</c:v>
                </c:pt>
                <c:pt idx="15">
                  <c:v>7.8579999999999692E-3</c:v>
                </c:pt>
                <c:pt idx="16">
                  <c:v>8.2660000000000372E-3</c:v>
                </c:pt>
                <c:pt idx="17">
                  <c:v>8.662000000000003E-3</c:v>
                </c:pt>
                <c:pt idx="18">
                  <c:v>9.0459999999999846E-3</c:v>
                </c:pt>
                <c:pt idx="19">
                  <c:v>9.4180000000000236E-3</c:v>
                </c:pt>
                <c:pt idx="20">
                  <c:v>9.7779999999999812E-3</c:v>
                </c:pt>
                <c:pt idx="21">
                  <c:v>1.0125999999999982E-2</c:v>
                </c:pt>
                <c:pt idx="22">
                  <c:v>1.0461999999999999E-2</c:v>
                </c:pt>
                <c:pt idx="23">
                  <c:v>1.0785999999999962E-2</c:v>
                </c:pt>
                <c:pt idx="24">
                  <c:v>1.1098000000000052E-2</c:v>
                </c:pt>
                <c:pt idx="25">
                  <c:v>1.1398000000000019E-2</c:v>
                </c:pt>
                <c:pt idx="26">
                  <c:v>1.1685999999999974E-2</c:v>
                </c:pt>
                <c:pt idx="27">
                  <c:v>1.1962000000000056E-2</c:v>
                </c:pt>
                <c:pt idx="28">
                  <c:v>1.2225999999999876E-2</c:v>
                </c:pt>
                <c:pt idx="29">
                  <c:v>1.2478000000000017E-2</c:v>
                </c:pt>
                <c:pt idx="30">
                  <c:v>1.2718000000000063E-2</c:v>
                </c:pt>
                <c:pt idx="31">
                  <c:v>1.2945999999999958E-2</c:v>
                </c:pt>
                <c:pt idx="32">
                  <c:v>1.3162000000000035E-2</c:v>
                </c:pt>
                <c:pt idx="33">
                  <c:v>1.33660000000001E-2</c:v>
                </c:pt>
                <c:pt idx="34">
                  <c:v>1.3557999999999848E-2</c:v>
                </c:pt>
                <c:pt idx="35">
                  <c:v>1.3738000000000028E-2</c:v>
                </c:pt>
                <c:pt idx="36">
                  <c:v>1.3906000000000029E-2</c:v>
                </c:pt>
                <c:pt idx="37">
                  <c:v>1.4061999999999963E-2</c:v>
                </c:pt>
                <c:pt idx="38">
                  <c:v>1.4206000000000052E-2</c:v>
                </c:pt>
                <c:pt idx="39">
                  <c:v>1.4337999999999962E-2</c:v>
                </c:pt>
                <c:pt idx="40">
                  <c:v>1.4457999999999971E-2</c:v>
                </c:pt>
                <c:pt idx="41">
                  <c:v>1.4565999999999968E-2</c:v>
                </c:pt>
                <c:pt idx="42">
                  <c:v>1.4662000000000064E-2</c:v>
                </c:pt>
                <c:pt idx="43">
                  <c:v>1.4746000000000037E-2</c:v>
                </c:pt>
                <c:pt idx="44">
                  <c:v>1.4817999999999998E-2</c:v>
                </c:pt>
                <c:pt idx="45">
                  <c:v>1.4878000000000058E-2</c:v>
                </c:pt>
                <c:pt idx="46">
                  <c:v>1.4925999999999884E-2</c:v>
                </c:pt>
                <c:pt idx="47">
                  <c:v>1.4962000000000031E-2</c:v>
                </c:pt>
                <c:pt idx="48">
                  <c:v>1.4985999999999999E-2</c:v>
                </c:pt>
                <c:pt idx="49">
                  <c:v>1.4998000000000011E-2</c:v>
                </c:pt>
                <c:pt idx="50">
                  <c:v>1.4998000000000067E-2</c:v>
                </c:pt>
                <c:pt idx="51">
                  <c:v>1.4985999999999944E-2</c:v>
                </c:pt>
                <c:pt idx="52">
                  <c:v>1.4962000000000031E-2</c:v>
                </c:pt>
                <c:pt idx="53">
                  <c:v>1.4925999999999995E-2</c:v>
                </c:pt>
                <c:pt idx="54">
                  <c:v>1.4878000000000058E-2</c:v>
                </c:pt>
                <c:pt idx="55">
                  <c:v>1.4817999999999998E-2</c:v>
                </c:pt>
                <c:pt idx="56">
                  <c:v>1.4745999999999815E-2</c:v>
                </c:pt>
                <c:pt idx="57">
                  <c:v>1.4662000000000064E-2</c:v>
                </c:pt>
                <c:pt idx="58">
                  <c:v>1.4566000000000079E-2</c:v>
                </c:pt>
                <c:pt idx="59">
                  <c:v>1.4457999999999971E-2</c:v>
                </c:pt>
                <c:pt idx="60">
                  <c:v>1.4337999999999962E-2</c:v>
                </c:pt>
                <c:pt idx="61">
                  <c:v>1.4206000000000052E-2</c:v>
                </c:pt>
                <c:pt idx="62">
                  <c:v>1.4062000000000019E-2</c:v>
                </c:pt>
                <c:pt idx="63">
                  <c:v>1.3905999999999974E-2</c:v>
                </c:pt>
                <c:pt idx="64">
                  <c:v>1.3738000000000028E-2</c:v>
                </c:pt>
                <c:pt idx="65">
                  <c:v>1.3557999999999959E-2</c:v>
                </c:pt>
                <c:pt idx="66">
                  <c:v>1.33660000000001E-2</c:v>
                </c:pt>
                <c:pt idx="67">
                  <c:v>1.3162000000000007E-2</c:v>
                </c:pt>
                <c:pt idx="68">
                  <c:v>1.2945999999999791E-2</c:v>
                </c:pt>
                <c:pt idx="69">
                  <c:v>1.2718000000000118E-2</c:v>
                </c:pt>
                <c:pt idx="70">
                  <c:v>1.2477999999999878E-2</c:v>
                </c:pt>
                <c:pt idx="71">
                  <c:v>1.222600000000007E-2</c:v>
                </c:pt>
                <c:pt idx="72">
                  <c:v>1.1962000000000028E-2</c:v>
                </c:pt>
                <c:pt idx="73">
                  <c:v>1.1685999999999974E-2</c:v>
                </c:pt>
                <c:pt idx="74">
                  <c:v>1.1398000000000019E-2</c:v>
                </c:pt>
                <c:pt idx="75">
                  <c:v>1.1098000000000052E-2</c:v>
                </c:pt>
                <c:pt idx="76">
                  <c:v>1.0785999999999962E-2</c:v>
                </c:pt>
                <c:pt idx="77">
                  <c:v>1.0461999999999971E-2</c:v>
                </c:pt>
                <c:pt idx="78">
                  <c:v>1.0126000000000079E-2</c:v>
                </c:pt>
                <c:pt idx="79">
                  <c:v>9.7779999999999534E-3</c:v>
                </c:pt>
                <c:pt idx="80">
                  <c:v>9.4180000000000375E-3</c:v>
                </c:pt>
                <c:pt idx="81">
                  <c:v>9.0459999999998875E-3</c:v>
                </c:pt>
                <c:pt idx="82">
                  <c:v>8.6619999999999475E-3</c:v>
                </c:pt>
                <c:pt idx="83">
                  <c:v>8.2660000000001066E-3</c:v>
                </c:pt>
                <c:pt idx="84">
                  <c:v>7.8579999999999206E-3</c:v>
                </c:pt>
                <c:pt idx="85">
                  <c:v>7.4380000000000557E-3</c:v>
                </c:pt>
                <c:pt idx="86">
                  <c:v>7.0060000000000677E-3</c:v>
                </c:pt>
                <c:pt idx="87">
                  <c:v>6.5619999999999568E-3</c:v>
                </c:pt>
                <c:pt idx="88">
                  <c:v>6.1059999999999448E-3</c:v>
                </c:pt>
                <c:pt idx="89">
                  <c:v>5.6380000000000319E-3</c:v>
                </c:pt>
                <c:pt idx="90">
                  <c:v>5.1579999999999959E-3</c:v>
                </c:pt>
                <c:pt idx="91">
                  <c:v>4.666000000000059E-3</c:v>
                </c:pt>
                <c:pt idx="92">
                  <c:v>4.161999999999999E-3</c:v>
                </c:pt>
                <c:pt idx="93">
                  <c:v>3.6459999999999271E-3</c:v>
                </c:pt>
                <c:pt idx="94">
                  <c:v>3.1180000000000652E-3</c:v>
                </c:pt>
                <c:pt idx="95">
                  <c:v>2.5779999999999692E-3</c:v>
                </c:pt>
                <c:pt idx="96">
                  <c:v>2.0260000000000833E-3</c:v>
                </c:pt>
                <c:pt idx="97">
                  <c:v>1.4619999999998523E-3</c:v>
                </c:pt>
                <c:pt idx="98">
                  <c:v>8.8600000000005341E-4</c:v>
                </c:pt>
                <c:pt idx="99">
                  <c:v>2.9800000000002047E-4</c:v>
                </c:pt>
              </c:numCache>
            </c:numRef>
          </c:yVal>
          <c:smooth val="0"/>
        </c:ser>
        <c:dLbls>
          <c:showLegendKey val="0"/>
          <c:showVal val="0"/>
          <c:showCatName val="0"/>
          <c:showSerName val="0"/>
          <c:showPercent val="0"/>
          <c:showBubbleSize val="0"/>
        </c:dLbls>
        <c:axId val="96733824"/>
        <c:axId val="97003392"/>
      </c:scatterChart>
      <c:valAx>
        <c:axId val="967338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003392"/>
        <c:crosses val="autoZero"/>
        <c:crossBetween val="midCat"/>
        <c:majorUnit val="0.1"/>
      </c:valAx>
      <c:valAx>
        <c:axId val="9700339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33824"/>
        <c:crosses val="autoZero"/>
        <c:crossBetween val="midCat"/>
      </c:valAx>
      <c:spPr>
        <a:solidFill>
          <a:srgbClr val="F3F3FB"/>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Beta-Verteilungsfunktion</a:t>
            </a:r>
          </a:p>
        </c:rich>
      </c:tx>
      <c:layout>
        <c:manualLayout>
          <c:xMode val="edge"/>
          <c:yMode val="edge"/>
          <c:x val="0.35151564204254204"/>
          <c:y val="3.678929765886288E-2"/>
        </c:manualLayout>
      </c:layout>
      <c:overlay val="0"/>
      <c:spPr>
        <a:noFill/>
        <a:ln w="25400">
          <a:noFill/>
        </a:ln>
      </c:spPr>
    </c:title>
    <c:autoTitleDeleted val="0"/>
    <c:plotArea>
      <c:layout>
        <c:manualLayout>
          <c:layoutTarget val="inner"/>
          <c:xMode val="edge"/>
          <c:yMode val="edge"/>
          <c:x val="6.8181919066523239E-2"/>
          <c:y val="0.22408026755852842"/>
          <c:w val="0.89394071664997132"/>
          <c:h val="0.62541806020066892"/>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Beta.vert!$B$23:$B$123</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Beta.vert!$C$23:$C$123</c:f>
              <c:numCache>
                <c:formatCode>General</c:formatCode>
                <c:ptCount val="101"/>
                <c:pt idx="0">
                  <c:v>0</c:v>
                </c:pt>
                <c:pt idx="1">
                  <c:v>2.9800000000000025E-4</c:v>
                </c:pt>
                <c:pt idx="2">
                  <c:v>1.1840000000000004E-3</c:v>
                </c:pt>
                <c:pt idx="3">
                  <c:v>2.6459999999999995E-3</c:v>
                </c:pt>
                <c:pt idx="4">
                  <c:v>4.6720000000000025E-3</c:v>
                </c:pt>
                <c:pt idx="5">
                  <c:v>7.2500000000000012E-3</c:v>
                </c:pt>
                <c:pt idx="6">
                  <c:v>1.0367999999999999E-2</c:v>
                </c:pt>
                <c:pt idx="7">
                  <c:v>1.4014000000000006E-2</c:v>
                </c:pt>
                <c:pt idx="8">
                  <c:v>1.8175999999999991E-2</c:v>
                </c:pt>
                <c:pt idx="9">
                  <c:v>2.2841999999999987E-2</c:v>
                </c:pt>
                <c:pt idx="10">
                  <c:v>2.8000000000000011E-2</c:v>
                </c:pt>
                <c:pt idx="11">
                  <c:v>3.3638000000000001E-2</c:v>
                </c:pt>
                <c:pt idx="12">
                  <c:v>3.9744000000000002E-2</c:v>
                </c:pt>
                <c:pt idx="13">
                  <c:v>4.6306E-2</c:v>
                </c:pt>
                <c:pt idx="14">
                  <c:v>5.3311999999999998E-2</c:v>
                </c:pt>
                <c:pt idx="15">
                  <c:v>6.0750000000000005E-2</c:v>
                </c:pt>
                <c:pt idx="16">
                  <c:v>6.8607999999999975E-2</c:v>
                </c:pt>
                <c:pt idx="17">
                  <c:v>7.6874000000000012E-2</c:v>
                </c:pt>
                <c:pt idx="18">
                  <c:v>8.5536000000000015E-2</c:v>
                </c:pt>
                <c:pt idx="19">
                  <c:v>9.4581999999999999E-2</c:v>
                </c:pt>
                <c:pt idx="20">
                  <c:v>0.10400000000000002</c:v>
                </c:pt>
                <c:pt idx="21">
                  <c:v>0.113778</c:v>
                </c:pt>
                <c:pt idx="22">
                  <c:v>0.12390399999999999</c:v>
                </c:pt>
                <c:pt idx="23">
                  <c:v>0.13436599999999999</c:v>
                </c:pt>
                <c:pt idx="24">
                  <c:v>0.14515199999999995</c:v>
                </c:pt>
                <c:pt idx="25">
                  <c:v>0.15625</c:v>
                </c:pt>
                <c:pt idx="26">
                  <c:v>0.16764800000000002</c:v>
                </c:pt>
                <c:pt idx="27">
                  <c:v>0.17933399999999999</c:v>
                </c:pt>
                <c:pt idx="28">
                  <c:v>0.19129600000000005</c:v>
                </c:pt>
                <c:pt idx="29">
                  <c:v>0.20352199999999993</c:v>
                </c:pt>
                <c:pt idx="30">
                  <c:v>0.21599999999999994</c:v>
                </c:pt>
                <c:pt idx="31">
                  <c:v>0.228718</c:v>
                </c:pt>
                <c:pt idx="32">
                  <c:v>0.24166399999999996</c:v>
                </c:pt>
                <c:pt idx="33">
                  <c:v>0.254826</c:v>
                </c:pt>
                <c:pt idx="34">
                  <c:v>0.2681920000000001</c:v>
                </c:pt>
                <c:pt idx="35">
                  <c:v>0.28174999999999994</c:v>
                </c:pt>
                <c:pt idx="36">
                  <c:v>0.29548799999999997</c:v>
                </c:pt>
                <c:pt idx="37">
                  <c:v>0.309394</c:v>
                </c:pt>
                <c:pt idx="38">
                  <c:v>0.32345599999999997</c:v>
                </c:pt>
                <c:pt idx="39">
                  <c:v>0.33766200000000002</c:v>
                </c:pt>
                <c:pt idx="40">
                  <c:v>0.35199999999999998</c:v>
                </c:pt>
                <c:pt idx="41">
                  <c:v>0.36645799999999995</c:v>
                </c:pt>
                <c:pt idx="42">
                  <c:v>0.38102399999999992</c:v>
                </c:pt>
                <c:pt idx="43">
                  <c:v>0.39568599999999998</c:v>
                </c:pt>
                <c:pt idx="44">
                  <c:v>0.41043200000000002</c:v>
                </c:pt>
                <c:pt idx="45">
                  <c:v>0.42525000000000002</c:v>
                </c:pt>
                <c:pt idx="46">
                  <c:v>0.44012800000000007</c:v>
                </c:pt>
                <c:pt idx="47">
                  <c:v>0.45505399999999996</c:v>
                </c:pt>
                <c:pt idx="48">
                  <c:v>0.47001599999999999</c:v>
                </c:pt>
                <c:pt idx="49">
                  <c:v>0.48500199999999999</c:v>
                </c:pt>
                <c:pt idx="50">
                  <c:v>0.5</c:v>
                </c:pt>
                <c:pt idx="51">
                  <c:v>0.51499800000000007</c:v>
                </c:pt>
                <c:pt idx="52">
                  <c:v>0.52998400000000001</c:v>
                </c:pt>
                <c:pt idx="53">
                  <c:v>0.54494600000000004</c:v>
                </c:pt>
                <c:pt idx="54">
                  <c:v>0.55987200000000004</c:v>
                </c:pt>
                <c:pt idx="55">
                  <c:v>0.57475000000000009</c:v>
                </c:pt>
                <c:pt idx="56">
                  <c:v>0.58956800000000009</c:v>
                </c:pt>
                <c:pt idx="57">
                  <c:v>0.60431399999999991</c:v>
                </c:pt>
                <c:pt idx="58">
                  <c:v>0.61897599999999997</c:v>
                </c:pt>
                <c:pt idx="59">
                  <c:v>0.63354200000000005</c:v>
                </c:pt>
                <c:pt idx="60">
                  <c:v>0.64800000000000002</c:v>
                </c:pt>
                <c:pt idx="61">
                  <c:v>0.66233799999999998</c:v>
                </c:pt>
                <c:pt idx="62">
                  <c:v>0.67654400000000003</c:v>
                </c:pt>
                <c:pt idx="63">
                  <c:v>0.69060600000000005</c:v>
                </c:pt>
                <c:pt idx="64">
                  <c:v>0.70451200000000003</c:v>
                </c:pt>
                <c:pt idx="65">
                  <c:v>0.71825000000000006</c:v>
                </c:pt>
                <c:pt idx="66">
                  <c:v>0.73180800000000001</c:v>
                </c:pt>
                <c:pt idx="67">
                  <c:v>0.74517400000000011</c:v>
                </c:pt>
                <c:pt idx="68">
                  <c:v>0.75833600000000012</c:v>
                </c:pt>
                <c:pt idx="69">
                  <c:v>0.77128199999999991</c:v>
                </c:pt>
                <c:pt idx="70">
                  <c:v>0.78400000000000003</c:v>
                </c:pt>
                <c:pt idx="71">
                  <c:v>0.79647799999999991</c:v>
                </c:pt>
                <c:pt idx="72">
                  <c:v>0.80870399999999998</c:v>
                </c:pt>
                <c:pt idx="73">
                  <c:v>0.82066600000000001</c:v>
                </c:pt>
                <c:pt idx="74">
                  <c:v>0.83235199999999998</c:v>
                </c:pt>
                <c:pt idx="75">
                  <c:v>0.84375</c:v>
                </c:pt>
                <c:pt idx="76">
                  <c:v>0.85484800000000005</c:v>
                </c:pt>
                <c:pt idx="77">
                  <c:v>0.86563400000000001</c:v>
                </c:pt>
                <c:pt idx="78">
                  <c:v>0.87609599999999999</c:v>
                </c:pt>
                <c:pt idx="79">
                  <c:v>0.88622200000000007</c:v>
                </c:pt>
                <c:pt idx="80">
                  <c:v>0.89600000000000002</c:v>
                </c:pt>
                <c:pt idx="81">
                  <c:v>0.90541800000000006</c:v>
                </c:pt>
                <c:pt idx="82">
                  <c:v>0.91446399999999994</c:v>
                </c:pt>
                <c:pt idx="83">
                  <c:v>0.92312599999999989</c:v>
                </c:pt>
                <c:pt idx="84">
                  <c:v>0.931392</c:v>
                </c:pt>
                <c:pt idx="85">
                  <c:v>0.93924999999999992</c:v>
                </c:pt>
                <c:pt idx="86">
                  <c:v>0.94668799999999997</c:v>
                </c:pt>
                <c:pt idx="87">
                  <c:v>0.95369400000000004</c:v>
                </c:pt>
                <c:pt idx="88">
                  <c:v>0.960256</c:v>
                </c:pt>
                <c:pt idx="89">
                  <c:v>0.96636199999999994</c:v>
                </c:pt>
                <c:pt idx="90">
                  <c:v>0.97199999999999998</c:v>
                </c:pt>
                <c:pt idx="91">
                  <c:v>0.97715799999999997</c:v>
                </c:pt>
                <c:pt idx="92">
                  <c:v>0.98182400000000003</c:v>
                </c:pt>
                <c:pt idx="93">
                  <c:v>0.98598600000000003</c:v>
                </c:pt>
                <c:pt idx="94">
                  <c:v>0.98963199999999996</c:v>
                </c:pt>
                <c:pt idx="95">
                  <c:v>0.99275000000000002</c:v>
                </c:pt>
                <c:pt idx="96">
                  <c:v>0.99532799999999999</c:v>
                </c:pt>
                <c:pt idx="97">
                  <c:v>0.99735400000000007</c:v>
                </c:pt>
                <c:pt idx="98">
                  <c:v>0.99881599999999993</c:v>
                </c:pt>
                <c:pt idx="99">
                  <c:v>0.99970199999999998</c:v>
                </c:pt>
                <c:pt idx="100">
                  <c:v>1</c:v>
                </c:pt>
              </c:numCache>
            </c:numRef>
          </c:yVal>
          <c:smooth val="0"/>
        </c:ser>
        <c:dLbls>
          <c:showLegendKey val="0"/>
          <c:showVal val="0"/>
          <c:showCatName val="0"/>
          <c:showSerName val="0"/>
          <c:showPercent val="0"/>
          <c:showBubbleSize val="0"/>
        </c:dLbls>
        <c:axId val="119659904"/>
        <c:axId val="121672064"/>
      </c:scatterChart>
      <c:valAx>
        <c:axId val="119659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1672064"/>
        <c:crosses val="autoZero"/>
        <c:crossBetween val="midCat"/>
        <c:majorUnit val="0.1"/>
      </c:valAx>
      <c:valAx>
        <c:axId val="1216720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19659904"/>
        <c:crosses val="autoZero"/>
        <c:crossBetween val="midCat"/>
      </c:valAx>
      <c:spPr>
        <a:solidFill>
          <a:srgbClr val="C0C0C0"/>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Beta-Dichtefunktion</a:t>
            </a:r>
          </a:p>
        </c:rich>
      </c:tx>
      <c:layout>
        <c:manualLayout>
          <c:xMode val="edge"/>
          <c:yMode val="edge"/>
          <c:x val="0.3803036784581032"/>
          <c:y val="3.678929765886288E-2"/>
        </c:manualLayout>
      </c:layout>
      <c:overlay val="0"/>
      <c:spPr>
        <a:noFill/>
        <a:ln w="25400">
          <a:noFill/>
        </a:ln>
      </c:spPr>
    </c:title>
    <c:autoTitleDeleted val="0"/>
    <c:plotArea>
      <c:layout>
        <c:manualLayout>
          <c:layoutTarget val="inner"/>
          <c:xMode val="edge"/>
          <c:yMode val="edge"/>
          <c:x val="8.9394071664997132E-2"/>
          <c:y val="0.22408026755852842"/>
          <c:w val="0.87272856405149746"/>
          <c:h val="0.62541806020066892"/>
        </c:manualLayout>
      </c:layout>
      <c:scatterChart>
        <c:scatterStyle val="lineMarker"/>
        <c:varyColors val="0"/>
        <c:ser>
          <c:idx val="0"/>
          <c:order val="0"/>
          <c:spPr>
            <a:ln w="25400">
              <a:solidFill>
                <a:srgbClr val="000080"/>
              </a:solidFill>
              <a:prstDash val="solid"/>
            </a:ln>
          </c:spPr>
          <c:marker>
            <c:symbol val="diamond"/>
            <c:size val="2"/>
            <c:spPr>
              <a:solidFill>
                <a:srgbClr val="000080"/>
              </a:solidFill>
              <a:ln>
                <a:solidFill>
                  <a:srgbClr val="000080"/>
                </a:solidFill>
                <a:prstDash val="solid"/>
              </a:ln>
            </c:spPr>
          </c:marker>
          <c:xVal>
            <c:numRef>
              <c:f>Beta.vert!$B$23:$B$123</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Beta.vert!$D$23:$D$123</c:f>
              <c:numCache>
                <c:formatCode>General</c:formatCode>
                <c:ptCount val="101"/>
                <c:pt idx="1">
                  <c:v>2.9800000000000025E-4</c:v>
                </c:pt>
                <c:pt idx="2">
                  <c:v>8.8600000000000007E-4</c:v>
                </c:pt>
                <c:pt idx="3">
                  <c:v>1.4619999999999991E-3</c:v>
                </c:pt>
                <c:pt idx="4">
                  <c:v>2.0260000000000031E-3</c:v>
                </c:pt>
                <c:pt idx="5">
                  <c:v>2.5779999999999987E-3</c:v>
                </c:pt>
                <c:pt idx="6">
                  <c:v>3.1179999999999975E-3</c:v>
                </c:pt>
                <c:pt idx="7">
                  <c:v>3.6460000000000069E-3</c:v>
                </c:pt>
                <c:pt idx="8">
                  <c:v>4.1619999999999852E-3</c:v>
                </c:pt>
                <c:pt idx="9">
                  <c:v>4.6659999999999965E-3</c:v>
                </c:pt>
                <c:pt idx="10">
                  <c:v>5.1580000000000237E-3</c:v>
                </c:pt>
                <c:pt idx="11">
                  <c:v>5.6379999999999902E-3</c:v>
                </c:pt>
                <c:pt idx="12">
                  <c:v>6.1060000000000003E-3</c:v>
                </c:pt>
                <c:pt idx="13">
                  <c:v>6.5619999999999984E-3</c:v>
                </c:pt>
                <c:pt idx="14">
                  <c:v>7.0059999999999983E-3</c:v>
                </c:pt>
                <c:pt idx="15">
                  <c:v>7.4380000000000071E-3</c:v>
                </c:pt>
                <c:pt idx="16">
                  <c:v>7.8579999999999692E-3</c:v>
                </c:pt>
                <c:pt idx="17">
                  <c:v>8.2660000000000372E-3</c:v>
                </c:pt>
                <c:pt idx="18">
                  <c:v>8.662000000000003E-3</c:v>
                </c:pt>
                <c:pt idx="19">
                  <c:v>9.0459999999999846E-3</c:v>
                </c:pt>
                <c:pt idx="20">
                  <c:v>9.4180000000000236E-3</c:v>
                </c:pt>
                <c:pt idx="21">
                  <c:v>9.7779999999999812E-3</c:v>
                </c:pt>
                <c:pt idx="22">
                  <c:v>1.0125999999999982E-2</c:v>
                </c:pt>
                <c:pt idx="23">
                  <c:v>1.0461999999999999E-2</c:v>
                </c:pt>
                <c:pt idx="24">
                  <c:v>1.0785999999999962E-2</c:v>
                </c:pt>
                <c:pt idx="25">
                  <c:v>1.1098000000000052E-2</c:v>
                </c:pt>
                <c:pt idx="26">
                  <c:v>1.1398000000000019E-2</c:v>
                </c:pt>
                <c:pt idx="27">
                  <c:v>1.1685999999999974E-2</c:v>
                </c:pt>
                <c:pt idx="28">
                  <c:v>1.1962000000000056E-2</c:v>
                </c:pt>
                <c:pt idx="29">
                  <c:v>1.2225999999999876E-2</c:v>
                </c:pt>
                <c:pt idx="30">
                  <c:v>1.2478000000000017E-2</c:v>
                </c:pt>
                <c:pt idx="31">
                  <c:v>1.2718000000000063E-2</c:v>
                </c:pt>
                <c:pt idx="32">
                  <c:v>1.2945999999999958E-2</c:v>
                </c:pt>
                <c:pt idx="33">
                  <c:v>1.3162000000000035E-2</c:v>
                </c:pt>
                <c:pt idx="34">
                  <c:v>1.33660000000001E-2</c:v>
                </c:pt>
                <c:pt idx="35">
                  <c:v>1.3557999999999848E-2</c:v>
                </c:pt>
                <c:pt idx="36">
                  <c:v>1.3738000000000028E-2</c:v>
                </c:pt>
                <c:pt idx="37">
                  <c:v>1.3906000000000029E-2</c:v>
                </c:pt>
                <c:pt idx="38">
                  <c:v>1.4061999999999963E-2</c:v>
                </c:pt>
                <c:pt idx="39">
                  <c:v>1.4206000000000052E-2</c:v>
                </c:pt>
                <c:pt idx="40">
                  <c:v>1.4337999999999962E-2</c:v>
                </c:pt>
                <c:pt idx="41">
                  <c:v>1.4457999999999971E-2</c:v>
                </c:pt>
                <c:pt idx="42">
                  <c:v>1.4565999999999968E-2</c:v>
                </c:pt>
                <c:pt idx="43">
                  <c:v>1.4662000000000064E-2</c:v>
                </c:pt>
                <c:pt idx="44">
                  <c:v>1.4746000000000037E-2</c:v>
                </c:pt>
                <c:pt idx="45">
                  <c:v>1.4817999999999998E-2</c:v>
                </c:pt>
                <c:pt idx="46">
                  <c:v>1.4878000000000058E-2</c:v>
                </c:pt>
                <c:pt idx="47">
                  <c:v>1.4925999999999884E-2</c:v>
                </c:pt>
                <c:pt idx="48">
                  <c:v>1.4962000000000031E-2</c:v>
                </c:pt>
                <c:pt idx="49">
                  <c:v>1.4985999999999999E-2</c:v>
                </c:pt>
                <c:pt idx="50">
                  <c:v>1.4998000000000011E-2</c:v>
                </c:pt>
                <c:pt idx="51">
                  <c:v>1.4998000000000067E-2</c:v>
                </c:pt>
                <c:pt idx="52">
                  <c:v>1.4985999999999944E-2</c:v>
                </c:pt>
                <c:pt idx="53">
                  <c:v>1.4962000000000031E-2</c:v>
                </c:pt>
                <c:pt idx="54">
                  <c:v>1.4925999999999995E-2</c:v>
                </c:pt>
                <c:pt idx="55">
                  <c:v>1.4878000000000058E-2</c:v>
                </c:pt>
                <c:pt idx="56">
                  <c:v>1.4817999999999998E-2</c:v>
                </c:pt>
                <c:pt idx="57">
                  <c:v>1.4745999999999815E-2</c:v>
                </c:pt>
                <c:pt idx="58">
                  <c:v>1.4662000000000064E-2</c:v>
                </c:pt>
                <c:pt idx="59">
                  <c:v>1.4566000000000079E-2</c:v>
                </c:pt>
                <c:pt idx="60">
                  <c:v>1.4457999999999971E-2</c:v>
                </c:pt>
                <c:pt idx="61">
                  <c:v>1.4337999999999962E-2</c:v>
                </c:pt>
                <c:pt idx="62">
                  <c:v>1.4206000000000052E-2</c:v>
                </c:pt>
                <c:pt idx="63">
                  <c:v>1.4062000000000019E-2</c:v>
                </c:pt>
                <c:pt idx="64">
                  <c:v>1.3905999999999974E-2</c:v>
                </c:pt>
                <c:pt idx="65">
                  <c:v>1.3738000000000028E-2</c:v>
                </c:pt>
                <c:pt idx="66">
                  <c:v>1.3557999999999959E-2</c:v>
                </c:pt>
                <c:pt idx="67">
                  <c:v>1.33660000000001E-2</c:v>
                </c:pt>
                <c:pt idx="68">
                  <c:v>1.3162000000000007E-2</c:v>
                </c:pt>
                <c:pt idx="69">
                  <c:v>1.2945999999999791E-2</c:v>
                </c:pt>
                <c:pt idx="70">
                  <c:v>1.2718000000000118E-2</c:v>
                </c:pt>
                <c:pt idx="71">
                  <c:v>1.2477999999999878E-2</c:v>
                </c:pt>
                <c:pt idx="72">
                  <c:v>1.222600000000007E-2</c:v>
                </c:pt>
                <c:pt idx="73">
                  <c:v>1.1962000000000028E-2</c:v>
                </c:pt>
                <c:pt idx="74">
                  <c:v>1.1685999999999974E-2</c:v>
                </c:pt>
                <c:pt idx="75">
                  <c:v>1.1398000000000019E-2</c:v>
                </c:pt>
                <c:pt idx="76">
                  <c:v>1.1098000000000052E-2</c:v>
                </c:pt>
                <c:pt idx="77">
                  <c:v>1.0785999999999962E-2</c:v>
                </c:pt>
                <c:pt idx="78">
                  <c:v>1.0461999999999971E-2</c:v>
                </c:pt>
                <c:pt idx="79">
                  <c:v>1.0126000000000079E-2</c:v>
                </c:pt>
                <c:pt idx="80">
                  <c:v>9.7779999999999534E-3</c:v>
                </c:pt>
                <c:pt idx="81">
                  <c:v>9.4180000000000375E-3</c:v>
                </c:pt>
                <c:pt idx="82">
                  <c:v>9.0459999999998875E-3</c:v>
                </c:pt>
                <c:pt idx="83">
                  <c:v>8.6619999999999475E-3</c:v>
                </c:pt>
                <c:pt idx="84">
                  <c:v>8.2660000000001066E-3</c:v>
                </c:pt>
                <c:pt idx="85">
                  <c:v>7.8579999999999206E-3</c:v>
                </c:pt>
                <c:pt idx="86">
                  <c:v>7.4380000000000557E-3</c:v>
                </c:pt>
                <c:pt idx="87">
                  <c:v>7.0060000000000677E-3</c:v>
                </c:pt>
                <c:pt idx="88">
                  <c:v>6.5619999999999568E-3</c:v>
                </c:pt>
                <c:pt idx="89">
                  <c:v>6.1059999999999448E-3</c:v>
                </c:pt>
                <c:pt idx="90">
                  <c:v>5.6380000000000319E-3</c:v>
                </c:pt>
                <c:pt idx="91">
                  <c:v>5.1579999999999959E-3</c:v>
                </c:pt>
                <c:pt idx="92">
                  <c:v>4.666000000000059E-3</c:v>
                </c:pt>
                <c:pt idx="93">
                  <c:v>4.161999999999999E-3</c:v>
                </c:pt>
                <c:pt idx="94">
                  <c:v>3.6459999999999271E-3</c:v>
                </c:pt>
                <c:pt idx="95">
                  <c:v>3.1180000000000652E-3</c:v>
                </c:pt>
                <c:pt idx="96">
                  <c:v>2.5779999999999692E-3</c:v>
                </c:pt>
                <c:pt idx="97">
                  <c:v>2.0260000000000833E-3</c:v>
                </c:pt>
                <c:pt idx="98">
                  <c:v>1.4619999999998523E-3</c:v>
                </c:pt>
                <c:pt idx="99">
                  <c:v>8.8600000000005341E-4</c:v>
                </c:pt>
                <c:pt idx="100">
                  <c:v>2.9800000000002047E-4</c:v>
                </c:pt>
              </c:numCache>
            </c:numRef>
          </c:yVal>
          <c:smooth val="0"/>
        </c:ser>
        <c:dLbls>
          <c:showLegendKey val="0"/>
          <c:showVal val="0"/>
          <c:showCatName val="0"/>
          <c:showSerName val="0"/>
          <c:showPercent val="0"/>
          <c:showBubbleSize val="0"/>
        </c:dLbls>
        <c:axId val="123581568"/>
        <c:axId val="124522496"/>
      </c:scatterChart>
      <c:valAx>
        <c:axId val="123581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4522496"/>
        <c:crosses val="autoZero"/>
        <c:crossBetween val="midCat"/>
        <c:majorUnit val="0.1"/>
      </c:valAx>
      <c:valAx>
        <c:axId val="12452249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3581568"/>
        <c:crosses val="autoZero"/>
        <c:crossBetween val="midCat"/>
      </c:valAx>
      <c:spPr>
        <a:solidFill>
          <a:srgbClr val="C0C0C0"/>
        </a:solidFill>
        <a:ln w="12700">
          <a:solidFill>
            <a:srgbClr val="B1B1B1"/>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264930179415458"/>
          <c:y val="3.8596491228070177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677628775535782"/>
          <c:y val="0.21052703716775345"/>
          <c:w val="0.53388143877678906"/>
          <c:h val="0.63158111150326035"/>
        </c:manualLayout>
      </c:layout>
      <c:scatterChart>
        <c:scatterStyle val="lineMarker"/>
        <c:varyColors val="0"/>
        <c:ser>
          <c:idx val="0"/>
          <c:order val="0"/>
          <c:tx>
            <c:v>Gamma Verteilungsfunktion</c:v>
          </c:tx>
          <c:spPr>
            <a:ln w="3175">
              <a:solidFill>
                <a:srgbClr val="1F3F97"/>
              </a:solidFill>
              <a:prstDash val="solid"/>
            </a:ln>
          </c:spPr>
          <c:marker>
            <c:symbol val="diamond"/>
            <c:size val="2"/>
            <c:spPr>
              <a:solidFill>
                <a:srgbClr val="000080"/>
              </a:solidFill>
              <a:ln>
                <a:solidFill>
                  <a:srgbClr val="000080"/>
                </a:solidFill>
                <a:prstDash val="solid"/>
              </a:ln>
            </c:spPr>
          </c:marker>
          <c:xVal>
            <c:numRef>
              <c:f>Gamma.inv!$B$20:$B$120</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Gamma.inv!$D$20:$D$120</c:f>
              <c:numCache>
                <c:formatCode>General</c:formatCode>
                <c:ptCount val="101"/>
                <c:pt idx="0">
                  <c:v>0</c:v>
                </c:pt>
                <c:pt idx="1">
                  <c:v>1.2458411354275092E-5</c:v>
                </c:pt>
                <c:pt idx="2">
                  <c:v>4.9667913340265944E-5</c:v>
                </c:pt>
                <c:pt idx="3">
                  <c:v>1.1138130289139855E-4</c:v>
                </c:pt>
                <c:pt idx="4">
                  <c:v>1.9735322710959176E-4</c:v>
                </c:pt>
                <c:pt idx="5">
                  <c:v>3.0734017095901465E-4</c:v>
                </c:pt>
                <c:pt idx="6">
                  <c:v>4.4110044503657773E-4</c:v>
                </c:pt>
                <c:pt idx="7">
                  <c:v>5.9839417341869523E-4</c:v>
                </c:pt>
                <c:pt idx="8">
                  <c:v>7.7898328158386237E-4</c:v>
                </c:pt>
                <c:pt idx="9">
                  <c:v>9.8263148441059722E-4</c:v>
                </c:pt>
                <c:pt idx="10">
                  <c:v>1.2091042742502908E-3</c:v>
                </c:pt>
                <c:pt idx="11">
                  <c:v>1.4581689090745176E-3</c:v>
                </c:pt>
                <c:pt idx="12">
                  <c:v>1.7295944006963677E-3</c:v>
                </c:pt>
                <c:pt idx="13">
                  <c:v>2.0231515030653432E-3</c:v>
                </c:pt>
                <c:pt idx="14">
                  <c:v>2.3386127006353955E-3</c:v>
                </c:pt>
                <c:pt idx="15">
                  <c:v>2.6757521968056391E-3</c:v>
                </c:pt>
                <c:pt idx="16">
                  <c:v>3.0343459024333528E-3</c:v>
                </c:pt>
                <c:pt idx="17">
                  <c:v>3.4141714244187694E-3</c:v>
                </c:pt>
                <c:pt idx="18">
                  <c:v>3.8150080543612745E-3</c:v>
                </c:pt>
                <c:pt idx="19">
                  <c:v>4.2366367572865948E-3</c:v>
                </c:pt>
                <c:pt idx="20">
                  <c:v>4.6788401604444712E-3</c:v>
                </c:pt>
                <c:pt idx="21">
                  <c:v>5.1414025421764988E-3</c:v>
                </c:pt>
                <c:pt idx="22">
                  <c:v>5.6241098208536415E-3</c:v>
                </c:pt>
                <c:pt idx="23">
                  <c:v>6.1267495438830236E-3</c:v>
                </c:pt>
                <c:pt idx="24">
                  <c:v>6.6491108767835804E-3</c:v>
                </c:pt>
                <c:pt idx="25">
                  <c:v>7.1909845923301746E-3</c:v>
                </c:pt>
                <c:pt idx="26">
                  <c:v>7.7521630597657031E-3</c:v>
                </c:pt>
                <c:pt idx="27">
                  <c:v>8.3324402340809144E-3</c:v>
                </c:pt>
                <c:pt idx="28">
                  <c:v>8.9316116453613623E-3</c:v>
                </c:pt>
                <c:pt idx="29">
                  <c:v>9.5494743882012269E-3</c:v>
                </c:pt>
                <c:pt idx="30">
                  <c:v>1.018582711118352E-2</c:v>
                </c:pt>
                <c:pt idx="31">
                  <c:v>1.0840470006426373E-2</c:v>
                </c:pt>
                <c:pt idx="32">
                  <c:v>1.1513204799194845E-2</c:v>
                </c:pt>
                <c:pt idx="33">
                  <c:v>1.2203834737578065E-2</c:v>
                </c:pt>
                <c:pt idx="34">
                  <c:v>1.2912164582231092E-2</c:v>
                </c:pt>
                <c:pt idx="35">
                  <c:v>1.3638000596181353E-2</c:v>
                </c:pt>
                <c:pt idx="36">
                  <c:v>1.4381150534699013E-2</c:v>
                </c:pt>
                <c:pt idx="37">
                  <c:v>1.5141423635231093E-2</c:v>
                </c:pt>
                <c:pt idx="38">
                  <c:v>1.5918630607398846E-2</c:v>
                </c:pt>
                <c:pt idx="39">
                  <c:v>1.6712583623058025E-2</c:v>
                </c:pt>
                <c:pt idx="40">
                  <c:v>1.7523096306421772E-2</c:v>
                </c:pt>
                <c:pt idx="41">
                  <c:v>1.8349983724245456E-2</c:v>
                </c:pt>
                <c:pt idx="42">
                  <c:v>1.9193062376073614E-2</c:v>
                </c:pt>
                <c:pt idx="43">
                  <c:v>2.005215018454785E-2</c:v>
                </c:pt>
                <c:pt idx="44">
                  <c:v>2.0927066485776247E-2</c:v>
                </c:pt>
                <c:pt idx="45">
                  <c:v>2.1817632019763115E-2</c:v>
                </c:pt>
                <c:pt idx="46">
                  <c:v>2.2723668920899161E-2</c:v>
                </c:pt>
                <c:pt idx="47">
                  <c:v>2.3645000708511589E-2</c:v>
                </c:pt>
                <c:pt idx="48">
                  <c:v>2.4581452277473766E-2</c:v>
                </c:pt>
                <c:pt idx="49">
                  <c:v>2.5532849888874123E-2</c:v>
                </c:pt>
                <c:pt idx="50">
                  <c:v>2.6499021160743909E-2</c:v>
                </c:pt>
                <c:pt idx="51">
                  <c:v>2.7479795058843438E-2</c:v>
                </c:pt>
                <c:pt idx="52">
                  <c:v>2.8475001887506488E-2</c:v>
                </c:pt>
                <c:pt idx="53">
                  <c:v>2.9484473280542534E-2</c:v>
                </c:pt>
                <c:pt idx="54">
                  <c:v>3.0508042192196463E-2</c:v>
                </c:pt>
                <c:pt idx="55">
                  <c:v>3.1545542888165211E-2</c:v>
                </c:pt>
                <c:pt idx="56">
                  <c:v>3.2596810936671397E-2</c:v>
                </c:pt>
                <c:pt idx="57">
                  <c:v>3.3661683199593305E-2</c:v>
                </c:pt>
                <c:pt idx="58">
                  <c:v>3.4739997823650857E-2</c:v>
                </c:pt>
                <c:pt idx="59">
                  <c:v>3.583159423164739E-2</c:v>
                </c:pt>
                <c:pt idx="60">
                  <c:v>3.6936313113766765E-2</c:v>
                </c:pt>
                <c:pt idx="61">
                  <c:v>3.805399641892581E-2</c:v>
                </c:pt>
                <c:pt idx="62">
                  <c:v>3.9184487346181067E-2</c:v>
                </c:pt>
                <c:pt idx="63">
                  <c:v>4.0327630336190322E-2</c:v>
                </c:pt>
                <c:pt idx="64">
                  <c:v>4.1483271062727964E-2</c:v>
                </c:pt>
                <c:pt idx="65">
                  <c:v>4.2651256424254352E-2</c:v>
                </c:pt>
                <c:pt idx="66">
                  <c:v>4.38314345355382E-2</c:v>
                </c:pt>
                <c:pt idx="67">
                  <c:v>4.50236547193325E-2</c:v>
                </c:pt>
                <c:pt idx="68">
                  <c:v>4.6227767498102999E-2</c:v>
                </c:pt>
                <c:pt idx="69">
                  <c:v>4.7443624585809016E-2</c:v>
                </c:pt>
                <c:pt idx="70">
                  <c:v>4.8671078879736838E-2</c:v>
                </c:pt>
                <c:pt idx="71">
                  <c:v>4.9909984452384398E-2</c:v>
                </c:pt>
                <c:pt idx="72">
                  <c:v>5.1160196543397755E-2</c:v>
                </c:pt>
                <c:pt idx="73">
                  <c:v>5.2421571551558889E-2</c:v>
                </c:pt>
                <c:pt idx="74">
                  <c:v>5.3693967026824115E-2</c:v>
                </c:pt>
                <c:pt idx="75">
                  <c:v>5.4977241662413245E-2</c:v>
                </c:pt>
                <c:pt idx="76">
                  <c:v>5.6271255286948922E-2</c:v>
                </c:pt>
                <c:pt idx="77">
                  <c:v>5.7575868856646104E-2</c:v>
                </c:pt>
                <c:pt idx="78">
                  <c:v>5.8890944447551039E-2</c:v>
                </c:pt>
                <c:pt idx="79">
                  <c:v>6.0216345247829657E-2</c:v>
                </c:pt>
                <c:pt idx="80">
                  <c:v>6.1551935550104991E-2</c:v>
                </c:pt>
                <c:pt idx="81">
                  <c:v>6.2897580743843468E-2</c:v>
                </c:pt>
                <c:pt idx="82">
                  <c:v>6.4253147307789693E-2</c:v>
                </c:pt>
                <c:pt idx="83">
                  <c:v>6.56185028024492E-2</c:v>
                </c:pt>
                <c:pt idx="84">
                  <c:v>6.6993515862619354E-2</c:v>
                </c:pt>
                <c:pt idx="85">
                  <c:v>6.8378056189967645E-2</c:v>
                </c:pt>
                <c:pt idx="86">
                  <c:v>6.9771994545657329E-2</c:v>
                </c:pt>
                <c:pt idx="87">
                  <c:v>7.1175202743020347E-2</c:v>
                </c:pt>
                <c:pt idx="88">
                  <c:v>7.2587553640276414E-2</c:v>
                </c:pt>
                <c:pt idx="89">
                  <c:v>7.4008921133299377E-2</c:v>
                </c:pt>
                <c:pt idx="90">
                  <c:v>7.5439180148428722E-2</c:v>
                </c:pt>
                <c:pt idx="91">
                  <c:v>7.6878206635328003E-2</c:v>
                </c:pt>
                <c:pt idx="92">
                  <c:v>7.832587755988811E-2</c:v>
                </c:pt>
                <c:pt idx="93">
                  <c:v>7.9782070897176191E-2</c:v>
                </c:pt>
                <c:pt idx="94">
                  <c:v>8.1246665624429823E-2</c:v>
                </c:pt>
                <c:pt idx="95">
                  <c:v>8.2719541714095346E-2</c:v>
                </c:pt>
                <c:pt idx="96">
                  <c:v>8.4200580126911534E-2</c:v>
                </c:pt>
                <c:pt idx="97">
                  <c:v>8.5689662805036593E-2</c:v>
                </c:pt>
                <c:pt idx="98">
                  <c:v>8.718667266522008E-2</c:v>
                </c:pt>
                <c:pt idx="99">
                  <c:v>8.8691493592017598E-2</c:v>
                </c:pt>
                <c:pt idx="100">
                  <c:v>9.0204010431049864E-2</c:v>
                </c:pt>
              </c:numCache>
            </c:numRef>
          </c:yVal>
          <c:smooth val="0"/>
        </c:ser>
        <c:dLbls>
          <c:showLegendKey val="0"/>
          <c:showVal val="0"/>
          <c:showCatName val="0"/>
          <c:showSerName val="0"/>
          <c:showPercent val="0"/>
          <c:showBubbleSize val="0"/>
        </c:dLbls>
        <c:axId val="127269888"/>
        <c:axId val="127407616"/>
      </c:scatterChart>
      <c:valAx>
        <c:axId val="127269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407616"/>
        <c:crosses val="autoZero"/>
        <c:crossBetween val="midCat"/>
        <c:majorUnit val="0.2"/>
      </c:valAx>
      <c:valAx>
        <c:axId val="1274076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27269888"/>
        <c:crosses val="autoZero"/>
        <c:crossBetween val="midCat"/>
      </c:valAx>
      <c:spPr>
        <a:solidFill>
          <a:srgbClr val="E7E7F7"/>
        </a:solidFill>
        <a:ln w="12700">
          <a:solidFill>
            <a:srgbClr val="B1B1B1"/>
          </a:solidFill>
          <a:prstDash val="solid"/>
        </a:ln>
      </c:spPr>
    </c:plotArea>
    <c:legend>
      <c:legendPos val="r"/>
      <c:layout>
        <c:manualLayout>
          <c:xMode val="edge"/>
          <c:yMode val="edge"/>
          <c:x val="0.68583226891299776"/>
          <c:y val="0.45965059630704058"/>
          <c:w val="0.29774148867941819"/>
          <c:h val="0.13333370170833908"/>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6139673505904163"/>
          <c:y val="3.8596491228070177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677628775535782"/>
          <c:y val="0.21052703716775345"/>
          <c:w val="0.59137636295275098"/>
          <c:h val="0.63158111150326035"/>
        </c:manualLayout>
      </c:layout>
      <c:scatterChart>
        <c:scatterStyle val="lineMarker"/>
        <c:varyColors val="0"/>
        <c:ser>
          <c:idx val="0"/>
          <c:order val="0"/>
          <c:tx>
            <c:v>Gamma Dichtefunktion</c:v>
          </c:tx>
          <c:spPr>
            <a:ln w="3175">
              <a:solidFill>
                <a:srgbClr val="1F3F97"/>
              </a:solidFill>
              <a:prstDash val="solid"/>
            </a:ln>
          </c:spPr>
          <c:marker>
            <c:symbol val="diamond"/>
            <c:size val="2"/>
            <c:spPr>
              <a:solidFill>
                <a:srgbClr val="000080"/>
              </a:solidFill>
              <a:ln>
                <a:solidFill>
                  <a:srgbClr val="000080"/>
                </a:solidFill>
                <a:prstDash val="solid"/>
              </a:ln>
            </c:spPr>
          </c:marker>
          <c:xVal>
            <c:numRef>
              <c:f>Gamma.inv!$B$20:$B$120</c:f>
              <c:numCache>
                <c:formatCode>General</c:formatCode>
                <c:ptCount val="101"/>
                <c:pt idx="0">
                  <c:v>0</c:v>
                </c:pt>
                <c:pt idx="1">
                  <c:v>0.01</c:v>
                </c:pt>
                <c:pt idx="2">
                  <c:v>0.02</c:v>
                </c:pt>
                <c:pt idx="3">
                  <c:v>0.03</c:v>
                </c:pt>
                <c:pt idx="4">
                  <c:v>0.04</c:v>
                </c:pt>
                <c:pt idx="5">
                  <c:v>0.05</c:v>
                </c:pt>
                <c:pt idx="6">
                  <c:v>0.06</c:v>
                </c:pt>
                <c:pt idx="7">
                  <c:v>7.0000000000000007E-2</c:v>
                </c:pt>
                <c:pt idx="8">
                  <c:v>0.08</c:v>
                </c:pt>
                <c:pt idx="9">
                  <c:v>0.09</c:v>
                </c:pt>
                <c:pt idx="10">
                  <c:v>0.1</c:v>
                </c:pt>
                <c:pt idx="11">
                  <c:v>0.11</c:v>
                </c:pt>
                <c:pt idx="12">
                  <c:v>0.12</c:v>
                </c:pt>
                <c:pt idx="13">
                  <c:v>0.13</c:v>
                </c:pt>
                <c:pt idx="14">
                  <c:v>0.14000000000000001</c:v>
                </c:pt>
                <c:pt idx="15">
                  <c:v>0.15</c:v>
                </c:pt>
                <c:pt idx="16">
                  <c:v>0.16</c:v>
                </c:pt>
                <c:pt idx="17">
                  <c:v>0.17</c:v>
                </c:pt>
                <c:pt idx="18">
                  <c:v>0.18</c:v>
                </c:pt>
                <c:pt idx="19">
                  <c:v>0.19</c:v>
                </c:pt>
                <c:pt idx="20">
                  <c:v>0.2</c:v>
                </c:pt>
                <c:pt idx="21">
                  <c:v>0.21</c:v>
                </c:pt>
                <c:pt idx="22">
                  <c:v>0.22</c:v>
                </c:pt>
                <c:pt idx="23">
                  <c:v>0.23</c:v>
                </c:pt>
                <c:pt idx="24">
                  <c:v>0.24</c:v>
                </c:pt>
                <c:pt idx="25">
                  <c:v>0.25</c:v>
                </c:pt>
                <c:pt idx="26">
                  <c:v>0.26</c:v>
                </c:pt>
                <c:pt idx="27">
                  <c:v>0.27</c:v>
                </c:pt>
                <c:pt idx="28">
                  <c:v>0.28000000000000003</c:v>
                </c:pt>
                <c:pt idx="29">
                  <c:v>0.28999999999999998</c:v>
                </c:pt>
                <c:pt idx="30">
                  <c:v>0.3</c:v>
                </c:pt>
                <c:pt idx="31">
                  <c:v>0.31</c:v>
                </c:pt>
                <c:pt idx="32">
                  <c:v>0.32</c:v>
                </c:pt>
                <c:pt idx="33">
                  <c:v>0.33</c:v>
                </c:pt>
                <c:pt idx="34">
                  <c:v>0.34</c:v>
                </c:pt>
                <c:pt idx="35">
                  <c:v>0.35</c:v>
                </c:pt>
                <c:pt idx="36">
                  <c:v>0.36</c:v>
                </c:pt>
                <c:pt idx="37">
                  <c:v>0.37</c:v>
                </c:pt>
                <c:pt idx="38">
                  <c:v>0.38</c:v>
                </c:pt>
                <c:pt idx="39">
                  <c:v>0.39</c:v>
                </c:pt>
                <c:pt idx="40">
                  <c:v>0.4</c:v>
                </c:pt>
                <c:pt idx="41">
                  <c:v>0.41</c:v>
                </c:pt>
                <c:pt idx="42">
                  <c:v>0.42</c:v>
                </c:pt>
                <c:pt idx="43">
                  <c:v>0.43</c:v>
                </c:pt>
                <c:pt idx="44">
                  <c:v>0.44</c:v>
                </c:pt>
                <c:pt idx="45">
                  <c:v>0.45</c:v>
                </c:pt>
                <c:pt idx="46">
                  <c:v>0.46</c:v>
                </c:pt>
                <c:pt idx="47">
                  <c:v>0.47</c:v>
                </c:pt>
                <c:pt idx="48">
                  <c:v>0.48</c:v>
                </c:pt>
                <c:pt idx="49">
                  <c:v>0.49</c:v>
                </c:pt>
                <c:pt idx="50">
                  <c:v>0.5</c:v>
                </c:pt>
                <c:pt idx="51">
                  <c:v>0.51</c:v>
                </c:pt>
                <c:pt idx="52">
                  <c:v>0.52</c:v>
                </c:pt>
                <c:pt idx="53">
                  <c:v>0.53</c:v>
                </c:pt>
                <c:pt idx="54">
                  <c:v>0.54</c:v>
                </c:pt>
                <c:pt idx="55">
                  <c:v>0.55000000000000004</c:v>
                </c:pt>
                <c:pt idx="56">
                  <c:v>0.56000000000000005</c:v>
                </c:pt>
                <c:pt idx="57">
                  <c:v>0.56999999999999995</c:v>
                </c:pt>
                <c:pt idx="58">
                  <c:v>0.57999999999999996</c:v>
                </c:pt>
                <c:pt idx="59">
                  <c:v>0.59</c:v>
                </c:pt>
                <c:pt idx="60">
                  <c:v>0.6</c:v>
                </c:pt>
                <c:pt idx="61">
                  <c:v>0.61</c:v>
                </c:pt>
                <c:pt idx="62">
                  <c:v>0.62</c:v>
                </c:pt>
                <c:pt idx="63">
                  <c:v>0.63</c:v>
                </c:pt>
                <c:pt idx="64">
                  <c:v>0.64</c:v>
                </c:pt>
                <c:pt idx="65">
                  <c:v>0.65</c:v>
                </c:pt>
                <c:pt idx="66">
                  <c:v>0.66</c:v>
                </c:pt>
                <c:pt idx="67">
                  <c:v>0.67</c:v>
                </c:pt>
                <c:pt idx="68">
                  <c:v>0.68</c:v>
                </c:pt>
                <c:pt idx="69">
                  <c:v>0.69</c:v>
                </c:pt>
                <c:pt idx="70">
                  <c:v>0.7</c:v>
                </c:pt>
                <c:pt idx="71">
                  <c:v>0.71</c:v>
                </c:pt>
                <c:pt idx="72">
                  <c:v>0.72</c:v>
                </c:pt>
                <c:pt idx="73">
                  <c:v>0.73</c:v>
                </c:pt>
                <c:pt idx="74">
                  <c:v>0.74</c:v>
                </c:pt>
                <c:pt idx="75">
                  <c:v>0.75</c:v>
                </c:pt>
                <c:pt idx="76">
                  <c:v>0.76</c:v>
                </c:pt>
                <c:pt idx="77">
                  <c:v>0.77</c:v>
                </c:pt>
                <c:pt idx="78">
                  <c:v>0.78</c:v>
                </c:pt>
                <c:pt idx="79">
                  <c:v>0.79</c:v>
                </c:pt>
                <c:pt idx="80">
                  <c:v>0.8</c:v>
                </c:pt>
                <c:pt idx="81">
                  <c:v>0.81</c:v>
                </c:pt>
                <c:pt idx="82">
                  <c:v>0.82</c:v>
                </c:pt>
                <c:pt idx="83">
                  <c:v>0.83</c:v>
                </c:pt>
                <c:pt idx="84">
                  <c:v>0.84</c:v>
                </c:pt>
                <c:pt idx="85">
                  <c:v>0.85</c:v>
                </c:pt>
                <c:pt idx="86">
                  <c:v>0.86</c:v>
                </c:pt>
                <c:pt idx="87">
                  <c:v>0.87</c:v>
                </c:pt>
                <c:pt idx="88">
                  <c:v>0.88</c:v>
                </c:pt>
                <c:pt idx="89">
                  <c:v>0.89</c:v>
                </c:pt>
                <c:pt idx="90">
                  <c:v>0.9</c:v>
                </c:pt>
                <c:pt idx="91">
                  <c:v>0.91</c:v>
                </c:pt>
                <c:pt idx="92">
                  <c:v>0.92</c:v>
                </c:pt>
                <c:pt idx="93">
                  <c:v>0.93</c:v>
                </c:pt>
                <c:pt idx="94">
                  <c:v>0.94</c:v>
                </c:pt>
                <c:pt idx="95">
                  <c:v>0.95</c:v>
                </c:pt>
                <c:pt idx="96">
                  <c:v>0.96</c:v>
                </c:pt>
                <c:pt idx="97">
                  <c:v>0.97</c:v>
                </c:pt>
                <c:pt idx="98">
                  <c:v>0.98</c:v>
                </c:pt>
                <c:pt idx="99">
                  <c:v>0.99</c:v>
                </c:pt>
                <c:pt idx="100">
                  <c:v>1</c:v>
                </c:pt>
              </c:numCache>
            </c:numRef>
          </c:xVal>
          <c:yVal>
            <c:numRef>
              <c:f>Gamma.inv!$C$20:$C$120</c:f>
              <c:numCache>
                <c:formatCode>General</c:formatCode>
                <c:ptCount val="101"/>
                <c:pt idx="0">
                  <c:v>0</c:v>
                </c:pt>
                <c:pt idx="1">
                  <c:v>2.4875311979817077E-3</c:v>
                </c:pt>
                <c:pt idx="2">
                  <c:v>4.950249168745844E-3</c:v>
                </c:pt>
                <c:pt idx="3">
                  <c:v>7.3883395470229667E-3</c:v>
                </c:pt>
                <c:pt idx="4">
                  <c:v>9.801986733067555E-3</c:v>
                </c:pt>
                <c:pt idx="5">
                  <c:v>1.2191373900354158E-2</c:v>
                </c:pt>
                <c:pt idx="6">
                  <c:v>1.455668300322762E-2</c:v>
                </c:pt>
                <c:pt idx="7">
                  <c:v>1.6898094784507416E-2</c:v>
                </c:pt>
                <c:pt idx="8">
                  <c:v>1.9215788783046469E-2</c:v>
                </c:pt>
                <c:pt idx="9">
                  <c:v>2.1509943341244748E-2</c:v>
                </c:pt>
                <c:pt idx="10">
                  <c:v>2.3780735612517857E-2</c:v>
                </c:pt>
                <c:pt idx="11">
                  <c:v>2.602834156872081E-2</c:v>
                </c:pt>
                <c:pt idx="12">
                  <c:v>2.8252936007527461E-2</c:v>
                </c:pt>
                <c:pt idx="13">
                  <c:v>3.04546925597656E-2</c:v>
                </c:pt>
                <c:pt idx="14">
                  <c:v>3.2633783696708191E-2</c:v>
                </c:pt>
                <c:pt idx="15">
                  <c:v>3.4790380737320721E-2</c:v>
                </c:pt>
                <c:pt idx="16">
                  <c:v>3.6924653855465416E-2</c:v>
                </c:pt>
                <c:pt idx="17">
                  <c:v>3.9036772087061931E-2</c:v>
                </c:pt>
                <c:pt idx="18">
                  <c:v>4.1126903337205242E-2</c:v>
                </c:pt>
                <c:pt idx="19">
                  <c:v>4.3195214387241006E-2</c:v>
                </c:pt>
                <c:pt idx="20">
                  <c:v>4.5241870901797994E-2</c:v>
                </c:pt>
                <c:pt idx="21">
                  <c:v>4.7267037435778939E-2</c:v>
                </c:pt>
                <c:pt idx="22">
                  <c:v>4.9270877441309056E-2</c:v>
                </c:pt>
                <c:pt idx="23">
                  <c:v>5.1253553274642788E-2</c:v>
                </c:pt>
                <c:pt idx="24">
                  <c:v>5.3215226203029452E-2</c:v>
                </c:pt>
                <c:pt idx="25">
                  <c:v>5.515605641153723E-2</c:v>
                </c:pt>
                <c:pt idx="26">
                  <c:v>5.7076203009836478E-2</c:v>
                </c:pt>
                <c:pt idx="27">
                  <c:v>5.8975824038942311E-2</c:v>
                </c:pt>
                <c:pt idx="28">
                  <c:v>6.0855076477916395E-2</c:v>
                </c:pt>
                <c:pt idx="29">
                  <c:v>6.2714116250528751E-2</c:v>
                </c:pt>
                <c:pt idx="30">
                  <c:v>6.4553098231879324E-2</c:v>
                </c:pt>
                <c:pt idx="31">
                  <c:v>6.6372176254980042E-2</c:v>
                </c:pt>
                <c:pt idx="32">
                  <c:v>6.8171503117296889E-2</c:v>
                </c:pt>
                <c:pt idx="33">
                  <c:v>6.9951230587253069E-2</c:v>
                </c:pt>
                <c:pt idx="34">
                  <c:v>7.1711509410692612E-2</c:v>
                </c:pt>
                <c:pt idx="35">
                  <c:v>7.3452489317305636E-2</c:v>
                </c:pt>
                <c:pt idx="36">
                  <c:v>7.5174319027014477E-2</c:v>
                </c:pt>
                <c:pt idx="37">
                  <c:v>7.687714625632161E-2</c:v>
                </c:pt>
                <c:pt idx="38">
                  <c:v>7.8561117724619434E-2</c:v>
                </c:pt>
                <c:pt idx="39">
                  <c:v>8.0226379160461783E-2</c:v>
                </c:pt>
                <c:pt idx="40">
                  <c:v>8.1873075307798193E-2</c:v>
                </c:pt>
                <c:pt idx="41">
                  <c:v>8.3501349932169941E-2</c:v>
                </c:pt>
                <c:pt idx="42">
                  <c:v>8.5111345826869647E-2</c:v>
                </c:pt>
                <c:pt idx="43">
                  <c:v>8.6703204819062615E-2</c:v>
                </c:pt>
                <c:pt idx="44">
                  <c:v>8.8277067775872631E-2</c:v>
                </c:pt>
                <c:pt idx="45">
                  <c:v>8.98330746104299E-2</c:v>
                </c:pt>
                <c:pt idx="46">
                  <c:v>9.1371364287883394E-2</c:v>
                </c:pt>
                <c:pt idx="47">
                  <c:v>9.2892074831376417E-2</c:v>
                </c:pt>
                <c:pt idx="48">
                  <c:v>9.4395343327986395E-2</c:v>
                </c:pt>
                <c:pt idx="49">
                  <c:v>9.5881305934628833E-2</c:v>
                </c:pt>
                <c:pt idx="50">
                  <c:v>9.735009788392561E-2</c:v>
                </c:pt>
                <c:pt idx="51">
                  <c:v>9.8801853490037825E-2</c:v>
                </c:pt>
                <c:pt idx="52">
                  <c:v>0.10023670615446362</c:v>
                </c:pt>
                <c:pt idx="53">
                  <c:v>0.10165478837180086</c:v>
                </c:pt>
                <c:pt idx="54">
                  <c:v>0.10305623173547517</c:v>
                </c:pt>
                <c:pt idx="55">
                  <c:v>0.10444116694343318</c:v>
                </c:pt>
                <c:pt idx="56">
                  <c:v>0.10580972380380158</c:v>
                </c:pt>
                <c:pt idx="57">
                  <c:v>0.107162031240512</c:v>
                </c:pt>
                <c:pt idx="58">
                  <c:v>0.10849821729889193</c:v>
                </c:pt>
                <c:pt idx="59">
                  <c:v>0.10981840915122164</c:v>
                </c:pt>
                <c:pt idx="60">
                  <c:v>0.11112273310225763</c:v>
                </c:pt>
                <c:pt idx="61">
                  <c:v>0.11241131459472324</c:v>
                </c:pt>
                <c:pt idx="62">
                  <c:v>0.11368427821476484</c:v>
                </c:pt>
                <c:pt idx="63">
                  <c:v>0.11494174769737645</c:v>
                </c:pt>
                <c:pt idx="64">
                  <c:v>0.11618384593179054</c:v>
                </c:pt>
                <c:pt idx="65">
                  <c:v>0.11741069496683673</c:v>
                </c:pt>
                <c:pt idx="66">
                  <c:v>0.1186224160162678</c:v>
                </c:pt>
                <c:pt idx="67">
                  <c:v>0.11981912946405378</c:v>
                </c:pt>
                <c:pt idx="68">
                  <c:v>0.12100095486964367</c:v>
                </c:pt>
                <c:pt idx="69">
                  <c:v>0.12216801097319549</c:v>
                </c:pt>
                <c:pt idx="70">
                  <c:v>0.12332041570077479</c:v>
                </c:pt>
                <c:pt idx="71">
                  <c:v>0.12445828616952161</c:v>
                </c:pt>
                <c:pt idx="72">
                  <c:v>0.12558173869278555</c:v>
                </c:pt>
                <c:pt idx="73">
                  <c:v>0.12669088878523113</c:v>
                </c:pt>
                <c:pt idx="74">
                  <c:v>0.12778585116791058</c:v>
                </c:pt>
                <c:pt idx="75">
                  <c:v>0.12886673977330729</c:v>
                </c:pt>
                <c:pt idx="76">
                  <c:v>0.12993366775034759</c:v>
                </c:pt>
                <c:pt idx="77">
                  <c:v>0.1309867474693831</c:v>
                </c:pt>
                <c:pt idx="78">
                  <c:v>0.13202609052714209</c:v>
                </c:pt>
                <c:pt idx="79">
                  <c:v>0.13305180775165135</c:v>
                </c:pt>
                <c:pt idx="80">
                  <c:v>0.13406400920712785</c:v>
                </c:pt>
                <c:pt idx="81">
                  <c:v>0.13506280419884106</c:v>
                </c:pt>
                <c:pt idx="82">
                  <c:v>0.13604830127794545</c:v>
                </c:pt>
                <c:pt idx="83">
                  <c:v>0.13702060824628393</c:v>
                </c:pt>
                <c:pt idx="84">
                  <c:v>0.13797983216116194</c:v>
                </c:pt>
                <c:pt idx="85">
                  <c:v>0.13892607934009255</c:v>
                </c:pt>
                <c:pt idx="86">
                  <c:v>0.13985945536551306</c:v>
                </c:pt>
                <c:pt idx="87">
                  <c:v>0.14078006508947249</c:v>
                </c:pt>
                <c:pt idx="88">
                  <c:v>0.14168801263829109</c:v>
                </c:pt>
                <c:pt idx="89">
                  <c:v>0.14258340141719095</c:v>
                </c:pt>
                <c:pt idx="90">
                  <c:v>0.14346633411489898</c:v>
                </c:pt>
                <c:pt idx="91">
                  <c:v>0.14433691270822191</c:v>
                </c:pt>
                <c:pt idx="92">
                  <c:v>0.14519523846659299</c:v>
                </c:pt>
                <c:pt idx="93">
                  <c:v>0.14604141195659145</c:v>
                </c:pt>
                <c:pt idx="94">
                  <c:v>0.14687553304643466</c:v>
                </c:pt>
                <c:pt idx="95">
                  <c:v>0.14769770091044221</c:v>
                </c:pt>
                <c:pt idx="96">
                  <c:v>0.14850801403347383</c:v>
                </c:pt>
                <c:pt idx="97">
                  <c:v>0.14930657021533911</c:v>
                </c:pt>
                <c:pt idx="98">
                  <c:v>0.15009346657518194</c:v>
                </c:pt>
                <c:pt idx="99">
                  <c:v>0.15086879955583651</c:v>
                </c:pt>
                <c:pt idx="100">
                  <c:v>0.15163266492815836</c:v>
                </c:pt>
              </c:numCache>
            </c:numRef>
          </c:yVal>
          <c:smooth val="0"/>
        </c:ser>
        <c:dLbls>
          <c:showLegendKey val="0"/>
          <c:showVal val="0"/>
          <c:showCatName val="0"/>
          <c:showSerName val="0"/>
          <c:showPercent val="0"/>
          <c:showBubbleSize val="0"/>
        </c:dLbls>
        <c:axId val="132242048"/>
        <c:axId val="132519040"/>
      </c:scatterChart>
      <c:valAx>
        <c:axId val="132242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519040"/>
        <c:crosses val="autoZero"/>
        <c:crossBetween val="midCat"/>
      </c:valAx>
      <c:valAx>
        <c:axId val="13251904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242048"/>
        <c:crosses val="autoZero"/>
        <c:crossBetween val="midCat"/>
      </c:valAx>
      <c:spPr>
        <a:solidFill>
          <a:srgbClr val="E7E7F7"/>
        </a:solidFill>
        <a:ln w="12700">
          <a:solidFill>
            <a:srgbClr val="B1B1B1"/>
          </a:solidFill>
          <a:prstDash val="solid"/>
        </a:ln>
      </c:spPr>
    </c:plotArea>
    <c:legend>
      <c:legendPos val="r"/>
      <c:layout>
        <c:manualLayout>
          <c:xMode val="edge"/>
          <c:yMode val="edge"/>
          <c:x val="0.74332648870636553"/>
          <c:y val="0.45964912280701753"/>
          <c:w val="0.24024640657084184"/>
          <c:h val="0.133333333333333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Gamma-Dichte-und Verteilungsfunktion</a:t>
            </a:r>
          </a:p>
        </c:rich>
      </c:tx>
      <c:layout>
        <c:manualLayout>
          <c:xMode val="edge"/>
          <c:yMode val="edge"/>
          <c:x val="0.25677864429625719"/>
          <c:y val="3.6423841059602648E-2"/>
        </c:manualLayout>
      </c:layout>
      <c:overlay val="0"/>
      <c:spPr>
        <a:noFill/>
        <a:ln w="25400">
          <a:noFill/>
        </a:ln>
      </c:spPr>
    </c:title>
    <c:autoTitleDeleted val="0"/>
    <c:plotArea>
      <c:layout>
        <c:manualLayout>
          <c:layoutTarget val="inner"/>
          <c:xMode val="edge"/>
          <c:yMode val="edge"/>
          <c:x val="7.496024434348264E-2"/>
          <c:y val="0.2251655629139073"/>
          <c:w val="0.62679523461678044"/>
          <c:h val="0.62251655629139069"/>
        </c:manualLayout>
      </c:layout>
      <c:scatterChart>
        <c:scatterStyle val="lineMarker"/>
        <c:varyColors val="0"/>
        <c:ser>
          <c:idx val="1"/>
          <c:order val="0"/>
          <c:tx>
            <c:v>Verteilungsfunktion</c:v>
          </c:tx>
          <c:spPr>
            <a:ln w="25400">
              <a:solidFill>
                <a:srgbClr val="1F3F97"/>
              </a:solidFill>
              <a:prstDash val="solid"/>
            </a:ln>
          </c:spPr>
          <c:marker>
            <c:symbol val="square"/>
            <c:size val="3"/>
            <c:spPr>
              <a:solidFill>
                <a:srgbClr val="1F3F97"/>
              </a:solidFill>
              <a:ln>
                <a:solidFill>
                  <a:srgbClr val="1F3F97"/>
                </a:solidFill>
                <a:prstDash val="solid"/>
              </a:ln>
            </c:spPr>
          </c:marker>
          <c:xVal>
            <c:numRef>
              <c:f>Gamma.vert!$B$25:$B$125</c:f>
              <c:numCache>
                <c:formatCode>General</c:formatCode>
                <c:ptCount val="101"/>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4.2</c:v>
                </c:pt>
                <c:pt idx="43">
                  <c:v>4.3</c:v>
                </c:pt>
                <c:pt idx="44">
                  <c:v>4.4000000000000004</c:v>
                </c:pt>
                <c:pt idx="45">
                  <c:v>4.5</c:v>
                </c:pt>
                <c:pt idx="46">
                  <c:v>4.5999999999999996</c:v>
                </c:pt>
                <c:pt idx="47">
                  <c:v>4.7</c:v>
                </c:pt>
                <c:pt idx="48">
                  <c:v>4.8</c:v>
                </c:pt>
                <c:pt idx="49">
                  <c:v>4.9000000000000004</c:v>
                </c:pt>
                <c:pt idx="50">
                  <c:v>5</c:v>
                </c:pt>
                <c:pt idx="51">
                  <c:v>5.0999999999999996</c:v>
                </c:pt>
                <c:pt idx="52">
                  <c:v>5.2</c:v>
                </c:pt>
                <c:pt idx="53">
                  <c:v>5.3</c:v>
                </c:pt>
                <c:pt idx="54">
                  <c:v>5.4</c:v>
                </c:pt>
                <c:pt idx="55">
                  <c:v>5.5</c:v>
                </c:pt>
                <c:pt idx="56">
                  <c:v>5.6</c:v>
                </c:pt>
                <c:pt idx="57">
                  <c:v>5.7</c:v>
                </c:pt>
                <c:pt idx="58">
                  <c:v>5.8</c:v>
                </c:pt>
                <c:pt idx="59">
                  <c:v>5.9</c:v>
                </c:pt>
                <c:pt idx="60">
                  <c:v>6</c:v>
                </c:pt>
                <c:pt idx="61">
                  <c:v>6.1</c:v>
                </c:pt>
                <c:pt idx="62">
                  <c:v>6.2</c:v>
                </c:pt>
                <c:pt idx="63">
                  <c:v>6.3</c:v>
                </c:pt>
                <c:pt idx="64">
                  <c:v>6.4</c:v>
                </c:pt>
                <c:pt idx="65">
                  <c:v>6.5</c:v>
                </c:pt>
                <c:pt idx="66">
                  <c:v>6.6</c:v>
                </c:pt>
                <c:pt idx="67">
                  <c:v>6.7</c:v>
                </c:pt>
                <c:pt idx="68">
                  <c:v>6.8</c:v>
                </c:pt>
                <c:pt idx="69">
                  <c:v>6.9</c:v>
                </c:pt>
                <c:pt idx="70">
                  <c:v>7</c:v>
                </c:pt>
                <c:pt idx="71">
                  <c:v>7.1</c:v>
                </c:pt>
                <c:pt idx="72">
                  <c:v>7.2</c:v>
                </c:pt>
                <c:pt idx="73">
                  <c:v>7.3</c:v>
                </c:pt>
                <c:pt idx="74">
                  <c:v>7.4</c:v>
                </c:pt>
                <c:pt idx="75">
                  <c:v>7.5</c:v>
                </c:pt>
                <c:pt idx="76">
                  <c:v>7.6</c:v>
                </c:pt>
                <c:pt idx="77">
                  <c:v>7.7</c:v>
                </c:pt>
                <c:pt idx="78">
                  <c:v>7.8</c:v>
                </c:pt>
                <c:pt idx="79">
                  <c:v>7.9</c:v>
                </c:pt>
                <c:pt idx="80">
                  <c:v>8</c:v>
                </c:pt>
                <c:pt idx="81">
                  <c:v>8.1</c:v>
                </c:pt>
                <c:pt idx="82">
                  <c:v>8.1999999999999993</c:v>
                </c:pt>
                <c:pt idx="83">
                  <c:v>8.3000000000000007</c:v>
                </c:pt>
                <c:pt idx="84">
                  <c:v>8.4</c:v>
                </c:pt>
                <c:pt idx="85">
                  <c:v>8.5</c:v>
                </c:pt>
                <c:pt idx="86">
                  <c:v>8.6</c:v>
                </c:pt>
                <c:pt idx="87">
                  <c:v>8.6999999999999993</c:v>
                </c:pt>
                <c:pt idx="88">
                  <c:v>8.8000000000000007</c:v>
                </c:pt>
                <c:pt idx="89">
                  <c:v>8.9</c:v>
                </c:pt>
                <c:pt idx="90">
                  <c:v>9</c:v>
                </c:pt>
                <c:pt idx="91">
                  <c:v>9.1</c:v>
                </c:pt>
                <c:pt idx="92">
                  <c:v>9.1999999999999993</c:v>
                </c:pt>
                <c:pt idx="93">
                  <c:v>9.3000000000000007</c:v>
                </c:pt>
                <c:pt idx="94">
                  <c:v>9.4</c:v>
                </c:pt>
                <c:pt idx="95">
                  <c:v>9.5</c:v>
                </c:pt>
                <c:pt idx="96">
                  <c:v>9.6</c:v>
                </c:pt>
                <c:pt idx="97">
                  <c:v>9.6999999999999993</c:v>
                </c:pt>
                <c:pt idx="98">
                  <c:v>9.8000000000000007</c:v>
                </c:pt>
                <c:pt idx="99">
                  <c:v>9.9</c:v>
                </c:pt>
                <c:pt idx="100">
                  <c:v>10</c:v>
                </c:pt>
              </c:numCache>
            </c:numRef>
          </c:xVal>
          <c:yVal>
            <c:numRef>
              <c:f>Gamma.vert!$D$25:$D$125</c:f>
              <c:numCache>
                <c:formatCode>General</c:formatCode>
                <c:ptCount val="101"/>
                <c:pt idx="0">
                  <c:v>0</c:v>
                </c:pt>
                <c:pt idx="1">
                  <c:v>1.2091042742502908E-3</c:v>
                </c:pt>
                <c:pt idx="2">
                  <c:v>4.6788401604444712E-3</c:v>
                </c:pt>
                <c:pt idx="3">
                  <c:v>1.018582711118352E-2</c:v>
                </c:pt>
                <c:pt idx="4">
                  <c:v>1.7523096306421772E-2</c:v>
                </c:pt>
                <c:pt idx="5">
                  <c:v>2.6499021160743909E-2</c:v>
                </c:pt>
                <c:pt idx="6">
                  <c:v>3.6936313113766765E-2</c:v>
                </c:pt>
                <c:pt idx="7">
                  <c:v>4.8671078879736838E-2</c:v>
                </c:pt>
                <c:pt idx="8">
                  <c:v>6.1551935550104991E-2</c:v>
                </c:pt>
                <c:pt idx="9">
                  <c:v>7.5439180148428722E-2</c:v>
                </c:pt>
                <c:pt idx="10">
                  <c:v>9.0204010431049864E-2</c:v>
                </c:pt>
                <c:pt idx="11">
                  <c:v>0.1057277939102456</c:v>
                </c:pt>
                <c:pt idx="12">
                  <c:v>0.12190138224955763</c:v>
                </c:pt>
                <c:pt idx="13">
                  <c:v>0.13862446834432351</c:v>
                </c:pt>
                <c:pt idx="14">
                  <c:v>0.15580498355460379</c:v>
                </c:pt>
                <c:pt idx="15">
                  <c:v>0.17335853270322427</c:v>
                </c:pt>
                <c:pt idx="16">
                  <c:v>0.1912078645890011</c:v>
                </c:pt>
                <c:pt idx="17">
                  <c:v>0.20928237589485557</c:v>
                </c:pt>
                <c:pt idx="18">
                  <c:v>0.22751764649286171</c:v>
                </c:pt>
                <c:pt idx="19">
                  <c:v>0.24585500426372264</c:v>
                </c:pt>
                <c:pt idx="20">
                  <c:v>0.26424111765711522</c:v>
                </c:pt>
                <c:pt idx="21">
                  <c:v>0.28262761432213157</c:v>
                </c:pt>
                <c:pt idx="22">
                  <c:v>0.30097072423403287</c:v>
                </c:pt>
                <c:pt idx="23">
                  <c:v>0.31923094583503558</c:v>
                </c:pt>
                <c:pt idx="24">
                  <c:v>0.33737273379315535</c:v>
                </c:pt>
                <c:pt idx="25">
                  <c:v>0.35536420706457222</c:v>
                </c:pt>
                <c:pt idx="26">
                  <c:v>0.37317687602177113</c:v>
                </c:pt>
                <c:pt idx="27">
                  <c:v>0.39078538748215497</c:v>
                </c:pt>
                <c:pt idx="28">
                  <c:v>0.40816728654014456</c:v>
                </c:pt>
                <c:pt idx="29">
                  <c:v>0.42530279417019584</c:v>
                </c:pt>
                <c:pt idx="30">
                  <c:v>0.44217459962892536</c:v>
                </c:pt>
                <c:pt idx="31">
                  <c:v>0.45876766674180536</c:v>
                </c:pt>
                <c:pt idx="32">
                  <c:v>0.47506905321389603</c:v>
                </c:pt>
                <c:pt idx="33">
                  <c:v>0.49106774215500149</c:v>
                </c:pt>
                <c:pt idx="34">
                  <c:v>0.50675448505761655</c:v>
                </c:pt>
                <c:pt idx="35">
                  <c:v>0.52212165551127621</c:v>
                </c:pt>
                <c:pt idx="36">
                  <c:v>0.53716311297955777</c:v>
                </c:pt>
                <c:pt idx="37">
                  <c:v>0.55187407600616145</c:v>
                </c:pt>
                <c:pt idx="38">
                  <c:v>0.56625100425435848</c:v>
                </c:pt>
                <c:pt idx="39">
                  <c:v>0.5802914888197851</c:v>
                </c:pt>
                <c:pt idx="40">
                  <c:v>0.59399415029016189</c:v>
                </c:pt>
                <c:pt idx="41">
                  <c:v>0.60735854405719714</c:v>
                </c:pt>
                <c:pt idx="42">
                  <c:v>0.62038507241575602</c:v>
                </c:pt>
                <c:pt idx="43">
                  <c:v>0.63307490301348457</c:v>
                </c:pt>
                <c:pt idx="44">
                  <c:v>0.64542989324053157</c:v>
                </c:pt>
                <c:pt idx="45">
                  <c:v>0.65745252017394096</c:v>
                </c:pt>
                <c:pt idx="46">
                  <c:v>0.66914581571474763</c:v>
                </c:pt>
                <c:pt idx="47">
                  <c:v>0.68051330657790876</c:v>
                </c:pt>
                <c:pt idx="48">
                  <c:v>0.69155895881599749</c:v>
                </c:pt>
                <c:pt idx="49">
                  <c:v>0.70228712657717174</c:v>
                </c:pt>
                <c:pt idx="50">
                  <c:v>0.71270250481635422</c:v>
                </c:pt>
                <c:pt idx="51">
                  <c:v>0.72281008569590632</c:v>
                </c:pt>
                <c:pt idx="52">
                  <c:v>0.73261511842839799</c:v>
                </c:pt>
                <c:pt idx="53">
                  <c:v>0.74212307232943198</c:v>
                </c:pt>
                <c:pt idx="54">
                  <c:v>0.75133960286292589</c:v>
                </c:pt>
                <c:pt idx="55">
                  <c:v>0.76027052047484656</c:v>
                </c:pt>
                <c:pt idx="56">
                  <c:v>0.76892176202417173</c:v>
                </c:pt>
                <c:pt idx="57">
                  <c:v>0.77729936463187199</c:v>
                </c:pt>
                <c:pt idx="58">
                  <c:v>0.78540944178001182</c:v>
                </c:pt>
                <c:pt idx="59">
                  <c:v>0.79325816150369211</c:v>
                </c:pt>
                <c:pt idx="60">
                  <c:v>0.80085172652854419</c:v>
                </c:pt>
                <c:pt idx="61">
                  <c:v>0.80819635621587926</c:v>
                </c:pt>
                <c:pt idx="62">
                  <c:v>0.8152982701864131</c:v>
                </c:pt>
                <c:pt idx="63">
                  <c:v>0.82216367350178321</c:v>
                </c:pt>
                <c:pt idx="64">
                  <c:v>0.82879874329086189</c:v>
                </c:pt>
                <c:pt idx="65">
                  <c:v>0.83520961671518146</c:v>
                </c:pt>
                <c:pt idx="66">
                  <c:v>0.84140238017466795</c:v>
                </c:pt>
                <c:pt idx="67">
                  <c:v>0.8473830596613241</c:v>
                </c:pt>
                <c:pt idx="68">
                  <c:v>0.85315761217456521</c:v>
                </c:pt>
                <c:pt idx="69">
                  <c:v>0.85873191811759764</c:v>
                </c:pt>
                <c:pt idx="70">
                  <c:v>0.86411177459956678</c:v>
                </c:pt>
                <c:pt idx="71">
                  <c:v>0.86930288957321056</c:v>
                </c:pt>
                <c:pt idx="72">
                  <c:v>0.87431087674245422</c:v>
                </c:pt>
                <c:pt idx="73">
                  <c:v>0.87914125117878761</c:v>
                </c:pt>
                <c:pt idx="74">
                  <c:v>0.88379942558940483</c:v>
                </c:pt>
                <c:pt idx="75">
                  <c:v>0.88829070718395675</c:v>
                </c:pt>
                <c:pt idx="76">
                  <c:v>0.89262029509040519</c:v>
                </c:pt>
                <c:pt idx="77">
                  <c:v>0.89679327827387079</c:v>
                </c:pt>
                <c:pt idx="78">
                  <c:v>0.90081463391555849</c:v>
                </c:pt>
                <c:pt idx="79">
                  <c:v>0.90468922621183467</c:v>
                </c:pt>
                <c:pt idx="80">
                  <c:v>0.90842180555632912</c:v>
                </c:pt>
                <c:pt idx="81">
                  <c:v>0.91201700807055774</c:v>
                </c:pt>
                <c:pt idx="82">
                  <c:v>0.91547935545101766</c:v>
                </c:pt>
                <c:pt idx="83">
                  <c:v>0.91881325510299938</c:v>
                </c:pt>
                <c:pt idx="84">
                  <c:v>0.92202300053351594</c:v>
                </c:pt>
                <c:pt idx="85">
                  <c:v>0.92511277197775388</c:v>
                </c:pt>
                <c:pt idx="86">
                  <c:v>0.92808663723533502</c:v>
                </c:pt>
                <c:pt idx="87">
                  <c:v>0.93094855269443266</c:v>
                </c:pt>
                <c:pt idx="88">
                  <c:v>0.93370236452343047</c:v>
                </c:pt>
                <c:pt idx="89">
                  <c:v>0.93635181001134482</c:v>
                </c:pt>
                <c:pt idx="90">
                  <c:v>0.93890051903966731</c:v>
                </c:pt>
                <c:pt idx="91">
                  <c:v>0.94135201566961779</c:v>
                </c:pt>
                <c:pt idx="92">
                  <c:v>0.94370971983005192</c:v>
                </c:pt>
                <c:pt idx="93">
                  <c:v>0.94597694909242924</c:v>
                </c:pt>
                <c:pt idx="94">
                  <c:v>0.94815692052033385</c:v>
                </c:pt>
                <c:pt idx="95">
                  <c:v>0.95025275258205633</c:v>
                </c:pt>
                <c:pt idx="96">
                  <c:v>0.95226746711568389</c:v>
                </c:pt>
                <c:pt idx="97">
                  <c:v>0.95420399133702927</c:v>
                </c:pt>
                <c:pt idx="98">
                  <c:v>0.95606515988154639</c:v>
                </c:pt>
                <c:pt idx="99">
                  <c:v>0.95785371687213994</c:v>
                </c:pt>
                <c:pt idx="100">
                  <c:v>0.95957231800548715</c:v>
                </c:pt>
              </c:numCache>
            </c:numRef>
          </c:yVal>
          <c:smooth val="0"/>
        </c:ser>
        <c:ser>
          <c:idx val="0"/>
          <c:order val="1"/>
          <c:tx>
            <c:v>Dichtefunktion</c:v>
          </c:tx>
          <c:spPr>
            <a:ln w="25400">
              <a:solidFill>
                <a:srgbClr val="1F3F97"/>
              </a:solidFill>
              <a:prstDash val="solid"/>
            </a:ln>
          </c:spPr>
          <c:marker>
            <c:symbol val="diamond"/>
            <c:size val="2"/>
            <c:spPr>
              <a:solidFill>
                <a:srgbClr val="000080"/>
              </a:solidFill>
              <a:ln>
                <a:solidFill>
                  <a:srgbClr val="000080"/>
                </a:solidFill>
                <a:prstDash val="solid"/>
              </a:ln>
            </c:spPr>
          </c:marker>
          <c:xVal>
            <c:numRef>
              <c:f>Gamma.vert!$B$25:$B$125</c:f>
              <c:numCache>
                <c:formatCode>General</c:formatCode>
                <c:ptCount val="101"/>
                <c:pt idx="0">
                  <c:v>0</c:v>
                </c:pt>
                <c:pt idx="1">
                  <c:v>0.1</c:v>
                </c:pt>
                <c:pt idx="2">
                  <c:v>0.2</c:v>
                </c:pt>
                <c:pt idx="3">
                  <c:v>0.3</c:v>
                </c:pt>
                <c:pt idx="4">
                  <c:v>0.4</c:v>
                </c:pt>
                <c:pt idx="5">
                  <c:v>0.5</c:v>
                </c:pt>
                <c:pt idx="6">
                  <c:v>0.6</c:v>
                </c:pt>
                <c:pt idx="7">
                  <c:v>0.7</c:v>
                </c:pt>
                <c:pt idx="8">
                  <c:v>0.8</c:v>
                </c:pt>
                <c:pt idx="9">
                  <c:v>0.9</c:v>
                </c:pt>
                <c:pt idx="10">
                  <c:v>1</c:v>
                </c:pt>
                <c:pt idx="11">
                  <c:v>1.1000000000000001</c:v>
                </c:pt>
                <c:pt idx="12">
                  <c:v>1.2</c:v>
                </c:pt>
                <c:pt idx="13">
                  <c:v>1.3</c:v>
                </c:pt>
                <c:pt idx="14">
                  <c:v>1.4</c:v>
                </c:pt>
                <c:pt idx="15">
                  <c:v>1.5</c:v>
                </c:pt>
                <c:pt idx="16">
                  <c:v>1.6</c:v>
                </c:pt>
                <c:pt idx="17">
                  <c:v>1.7</c:v>
                </c:pt>
                <c:pt idx="18">
                  <c:v>1.8</c:v>
                </c:pt>
                <c:pt idx="19">
                  <c:v>1.9</c:v>
                </c:pt>
                <c:pt idx="20">
                  <c:v>2</c:v>
                </c:pt>
                <c:pt idx="21">
                  <c:v>2.1</c:v>
                </c:pt>
                <c:pt idx="22">
                  <c:v>2.2000000000000002</c:v>
                </c:pt>
                <c:pt idx="23">
                  <c:v>2.2999999999999998</c:v>
                </c:pt>
                <c:pt idx="24">
                  <c:v>2.4</c:v>
                </c:pt>
                <c:pt idx="25">
                  <c:v>2.5</c:v>
                </c:pt>
                <c:pt idx="26">
                  <c:v>2.6</c:v>
                </c:pt>
                <c:pt idx="27">
                  <c:v>2.7</c:v>
                </c:pt>
                <c:pt idx="28">
                  <c:v>2.8</c:v>
                </c:pt>
                <c:pt idx="29">
                  <c:v>2.9</c:v>
                </c:pt>
                <c:pt idx="30">
                  <c:v>3</c:v>
                </c:pt>
                <c:pt idx="31">
                  <c:v>3.1</c:v>
                </c:pt>
                <c:pt idx="32">
                  <c:v>3.2</c:v>
                </c:pt>
                <c:pt idx="33">
                  <c:v>3.3</c:v>
                </c:pt>
                <c:pt idx="34">
                  <c:v>3.4</c:v>
                </c:pt>
                <c:pt idx="35">
                  <c:v>3.5</c:v>
                </c:pt>
                <c:pt idx="36">
                  <c:v>3.6</c:v>
                </c:pt>
                <c:pt idx="37">
                  <c:v>3.7</c:v>
                </c:pt>
                <c:pt idx="38">
                  <c:v>3.8</c:v>
                </c:pt>
                <c:pt idx="39">
                  <c:v>3.9</c:v>
                </c:pt>
                <c:pt idx="40">
                  <c:v>4</c:v>
                </c:pt>
                <c:pt idx="41">
                  <c:v>4.0999999999999996</c:v>
                </c:pt>
                <c:pt idx="42">
                  <c:v>4.2</c:v>
                </c:pt>
                <c:pt idx="43">
                  <c:v>4.3</c:v>
                </c:pt>
                <c:pt idx="44">
                  <c:v>4.4000000000000004</c:v>
                </c:pt>
                <c:pt idx="45">
                  <c:v>4.5</c:v>
                </c:pt>
                <c:pt idx="46">
                  <c:v>4.5999999999999996</c:v>
                </c:pt>
                <c:pt idx="47">
                  <c:v>4.7</c:v>
                </c:pt>
                <c:pt idx="48">
                  <c:v>4.8</c:v>
                </c:pt>
                <c:pt idx="49">
                  <c:v>4.9000000000000004</c:v>
                </c:pt>
                <c:pt idx="50">
                  <c:v>5</c:v>
                </c:pt>
                <c:pt idx="51">
                  <c:v>5.0999999999999996</c:v>
                </c:pt>
                <c:pt idx="52">
                  <c:v>5.2</c:v>
                </c:pt>
                <c:pt idx="53">
                  <c:v>5.3</c:v>
                </c:pt>
                <c:pt idx="54">
                  <c:v>5.4</c:v>
                </c:pt>
                <c:pt idx="55">
                  <c:v>5.5</c:v>
                </c:pt>
                <c:pt idx="56">
                  <c:v>5.6</c:v>
                </c:pt>
                <c:pt idx="57">
                  <c:v>5.7</c:v>
                </c:pt>
                <c:pt idx="58">
                  <c:v>5.8</c:v>
                </c:pt>
                <c:pt idx="59">
                  <c:v>5.9</c:v>
                </c:pt>
                <c:pt idx="60">
                  <c:v>6</c:v>
                </c:pt>
                <c:pt idx="61">
                  <c:v>6.1</c:v>
                </c:pt>
                <c:pt idx="62">
                  <c:v>6.2</c:v>
                </c:pt>
                <c:pt idx="63">
                  <c:v>6.3</c:v>
                </c:pt>
                <c:pt idx="64">
                  <c:v>6.4</c:v>
                </c:pt>
                <c:pt idx="65">
                  <c:v>6.5</c:v>
                </c:pt>
                <c:pt idx="66">
                  <c:v>6.6</c:v>
                </c:pt>
                <c:pt idx="67">
                  <c:v>6.7</c:v>
                </c:pt>
                <c:pt idx="68">
                  <c:v>6.8</c:v>
                </c:pt>
                <c:pt idx="69">
                  <c:v>6.9</c:v>
                </c:pt>
                <c:pt idx="70">
                  <c:v>7</c:v>
                </c:pt>
                <c:pt idx="71">
                  <c:v>7.1</c:v>
                </c:pt>
                <c:pt idx="72">
                  <c:v>7.2</c:v>
                </c:pt>
                <c:pt idx="73">
                  <c:v>7.3</c:v>
                </c:pt>
                <c:pt idx="74">
                  <c:v>7.4</c:v>
                </c:pt>
                <c:pt idx="75">
                  <c:v>7.5</c:v>
                </c:pt>
                <c:pt idx="76">
                  <c:v>7.6</c:v>
                </c:pt>
                <c:pt idx="77">
                  <c:v>7.7</c:v>
                </c:pt>
                <c:pt idx="78">
                  <c:v>7.8</c:v>
                </c:pt>
                <c:pt idx="79">
                  <c:v>7.9</c:v>
                </c:pt>
                <c:pt idx="80">
                  <c:v>8</c:v>
                </c:pt>
                <c:pt idx="81">
                  <c:v>8.1</c:v>
                </c:pt>
                <c:pt idx="82">
                  <c:v>8.1999999999999993</c:v>
                </c:pt>
                <c:pt idx="83">
                  <c:v>8.3000000000000007</c:v>
                </c:pt>
                <c:pt idx="84">
                  <c:v>8.4</c:v>
                </c:pt>
                <c:pt idx="85">
                  <c:v>8.5</c:v>
                </c:pt>
                <c:pt idx="86">
                  <c:v>8.6</c:v>
                </c:pt>
                <c:pt idx="87">
                  <c:v>8.6999999999999993</c:v>
                </c:pt>
                <c:pt idx="88">
                  <c:v>8.8000000000000007</c:v>
                </c:pt>
                <c:pt idx="89">
                  <c:v>8.9</c:v>
                </c:pt>
                <c:pt idx="90">
                  <c:v>9</c:v>
                </c:pt>
                <c:pt idx="91">
                  <c:v>9.1</c:v>
                </c:pt>
                <c:pt idx="92">
                  <c:v>9.1999999999999993</c:v>
                </c:pt>
                <c:pt idx="93">
                  <c:v>9.3000000000000007</c:v>
                </c:pt>
                <c:pt idx="94">
                  <c:v>9.4</c:v>
                </c:pt>
                <c:pt idx="95">
                  <c:v>9.5</c:v>
                </c:pt>
                <c:pt idx="96">
                  <c:v>9.6</c:v>
                </c:pt>
                <c:pt idx="97">
                  <c:v>9.6999999999999993</c:v>
                </c:pt>
                <c:pt idx="98">
                  <c:v>9.8000000000000007</c:v>
                </c:pt>
                <c:pt idx="99">
                  <c:v>9.9</c:v>
                </c:pt>
                <c:pt idx="100">
                  <c:v>10</c:v>
                </c:pt>
              </c:numCache>
            </c:numRef>
          </c:xVal>
          <c:yVal>
            <c:numRef>
              <c:f>Gamma.vert!$C$25:$C$125</c:f>
              <c:numCache>
                <c:formatCode>General</c:formatCode>
                <c:ptCount val="101"/>
                <c:pt idx="0">
                  <c:v>0</c:v>
                </c:pt>
                <c:pt idx="1">
                  <c:v>2.3780735612517857E-2</c:v>
                </c:pt>
                <c:pt idx="2">
                  <c:v>4.5241870901797994E-2</c:v>
                </c:pt>
                <c:pt idx="3">
                  <c:v>6.4553098231879324E-2</c:v>
                </c:pt>
                <c:pt idx="4">
                  <c:v>8.1873075307798193E-2</c:v>
                </c:pt>
                <c:pt idx="5">
                  <c:v>9.735009788392561E-2</c:v>
                </c:pt>
                <c:pt idx="6">
                  <c:v>0.11112273310225763</c:v>
                </c:pt>
                <c:pt idx="7">
                  <c:v>0.12332041570077479</c:v>
                </c:pt>
                <c:pt idx="8">
                  <c:v>0.13406400920712785</c:v>
                </c:pt>
                <c:pt idx="9">
                  <c:v>0.14346633411489898</c:v>
                </c:pt>
                <c:pt idx="10">
                  <c:v>0.15163266492815836</c:v>
                </c:pt>
                <c:pt idx="11">
                  <c:v>0.15866119785463381</c:v>
                </c:pt>
                <c:pt idx="12">
                  <c:v>0.16464349082820789</c:v>
                </c:pt>
                <c:pt idx="13">
                  <c:v>0.16966487744733016</c:v>
                </c:pt>
                <c:pt idx="14">
                  <c:v>0.1738048563269933</c:v>
                </c:pt>
                <c:pt idx="15">
                  <c:v>0.17713745727788049</c:v>
                </c:pt>
                <c:pt idx="16">
                  <c:v>0.17973158564688865</c:v>
                </c:pt>
                <c:pt idx="17">
                  <c:v>0.18165134607820879</c:v>
                </c:pt>
                <c:pt idx="18">
                  <c:v>0.18295634688326959</c:v>
                </c:pt>
                <c:pt idx="19">
                  <c:v>0.18370198614088804</c:v>
                </c:pt>
                <c:pt idx="20">
                  <c:v>0.18393972058572114</c:v>
                </c:pt>
                <c:pt idx="21">
                  <c:v>0.18371731828335655</c:v>
                </c:pt>
                <c:pt idx="22">
                  <c:v>0.18307909603394373</c:v>
                </c:pt>
                <c:pt idx="23">
                  <c:v>0.18206614239295565</c:v>
                </c:pt>
                <c:pt idx="24">
                  <c:v>0.18071652714732128</c:v>
                </c:pt>
                <c:pt idx="25">
                  <c:v>0.17906549803761881</c:v>
                </c:pt>
                <c:pt idx="26">
                  <c:v>0.17714566547210825</c:v>
                </c:pt>
                <c:pt idx="27">
                  <c:v>0.17498717593597679</c:v>
                </c:pt>
                <c:pt idx="28">
                  <c:v>0.17261787475912455</c:v>
                </c:pt>
                <c:pt idx="29">
                  <c:v>0.17006345886800334</c:v>
                </c:pt>
                <c:pt idx="30">
                  <c:v>0.16734762011132237</c:v>
                </c:pt>
                <c:pt idx="31">
                  <c:v>0.16449217971572591</c:v>
                </c:pt>
                <c:pt idx="32">
                  <c:v>0.16151721439572439</c:v>
                </c:pt>
                <c:pt idx="33">
                  <c:v>0.15844117461212218</c:v>
                </c:pt>
                <c:pt idx="34">
                  <c:v>0.15528099544482449</c:v>
                </c:pt>
                <c:pt idx="35">
                  <c:v>0.15205220051913951</c:v>
                </c:pt>
                <c:pt idx="36">
                  <c:v>0.14876899939942792</c:v>
                </c:pt>
                <c:pt idx="37">
                  <c:v>0.14544437884010555</c:v>
                </c:pt>
                <c:pt idx="38">
                  <c:v>0.14209018826150333</c:v>
                </c:pt>
                <c:pt idx="39">
                  <c:v>0.13871721979685075</c:v>
                </c:pt>
                <c:pt idx="40">
                  <c:v>0.13533528323661273</c:v>
                </c:pt>
                <c:pt idx="41">
                  <c:v>0.13195327617749936</c:v>
                </c:pt>
                <c:pt idx="42">
                  <c:v>0.12857924966563103</c:v>
                </c:pt>
                <c:pt idx="43">
                  <c:v>0.12522046960650926</c:v>
                </c:pt>
                <c:pt idx="44">
                  <c:v>0.12188347419856728</c:v>
                </c:pt>
                <c:pt idx="45">
                  <c:v>0.11857412763209739</c:v>
                </c:pt>
                <c:pt idx="46">
                  <c:v>0.11529767028122433</c:v>
                </c:pt>
                <c:pt idx="47">
                  <c:v>0.11205876560327084</c:v>
                </c:pt>
                <c:pt idx="48">
                  <c:v>0.10886154394729504</c:v>
                </c:pt>
                <c:pt idx="49">
                  <c:v>0.10570964346172887</c:v>
                </c:pt>
                <c:pt idx="50">
                  <c:v>0.10260624827987351</c:v>
                </c:pt>
                <c:pt idx="51">
                  <c:v>9.9554124151470288E-2</c:v>
                </c:pt>
                <c:pt idx="52">
                  <c:v>9.6555651678634044E-2</c:v>
                </c:pt>
                <c:pt idx="53">
                  <c:v>9.3612857305069214E-2</c:v>
                </c:pt>
                <c:pt idx="54">
                  <c:v>9.0727442198662189E-2</c:v>
                </c:pt>
                <c:pt idx="55">
                  <c:v>8.7900809159222923E-2</c:v>
                </c:pt>
                <c:pt idx="56">
                  <c:v>8.513408767530517E-2</c:v>
                </c:pt>
                <c:pt idx="57">
                  <c:v>8.2428157246644818E-2</c:v>
                </c:pt>
                <c:pt idx="58">
                  <c:v>7.9783669081790506E-2</c:v>
                </c:pt>
                <c:pt idx="59">
                  <c:v>7.7201066273937788E-2</c:v>
                </c:pt>
                <c:pt idx="60">
                  <c:v>7.4680602551795913E-2</c:v>
                </c:pt>
                <c:pt idx="61">
                  <c:v>7.2222359696489921E-2</c:v>
                </c:pt>
                <c:pt idx="62">
                  <c:v>6.9826263710014616E-2</c:v>
                </c:pt>
                <c:pt idx="63">
                  <c:v>6.7492099815588305E-2</c:v>
                </c:pt>
                <c:pt idx="64">
                  <c:v>6.5219526365385944E-2</c:v>
                </c:pt>
                <c:pt idx="65">
                  <c:v>6.3008087726548284E-2</c:v>
                </c:pt>
                <c:pt idx="66">
                  <c:v>6.0857226212046041E-2</c:v>
                </c:pt>
                <c:pt idx="67">
                  <c:v>5.8766293118915423E-2</c:v>
                </c:pt>
                <c:pt idx="68">
                  <c:v>5.6734558932554351E-2</c:v>
                </c:pt>
                <c:pt idx="69">
                  <c:v>5.4761222752167202E-2</c:v>
                </c:pt>
                <c:pt idx="70">
                  <c:v>5.2845420989057396E-2</c:v>
                </c:pt>
                <c:pt idx="71">
                  <c:v>5.0986235386275003E-2</c:v>
                </c:pt>
                <c:pt idx="72">
                  <c:v>4.9182700405126616E-2</c:v>
                </c:pt>
                <c:pt idx="73">
                  <c:v>4.7433810021228519E-2</c:v>
                </c:pt>
                <c:pt idx="74">
                  <c:v>4.5738523970127884E-2</c:v>
                </c:pt>
                <c:pt idx="75">
                  <c:v>4.4095773480017086E-2</c:v>
                </c:pt>
                <c:pt idx="76">
                  <c:v>4.2504466526714649E-2</c:v>
                </c:pt>
                <c:pt idx="77">
                  <c:v>4.0963492643876061E-2</c:v>
                </c:pt>
                <c:pt idx="78">
                  <c:v>3.9471727319318563E-2</c:v>
                </c:pt>
                <c:pt idx="79">
                  <c:v>3.8028036006389189E-2</c:v>
                </c:pt>
                <c:pt idx="80">
                  <c:v>3.6631277777468364E-2</c:v>
                </c:pt>
                <c:pt idx="81">
                  <c:v>3.5280308644974376E-2</c:v>
                </c:pt>
                <c:pt idx="82">
                  <c:v>3.3973984573610574E-2</c:v>
                </c:pt>
                <c:pt idx="83">
                  <c:v>3.2711164206073062E-2</c:v>
                </c:pt>
                <c:pt idx="84">
                  <c:v>3.1490711323003177E-2</c:v>
                </c:pt>
                <c:pt idx="85">
                  <c:v>3.0311497056623424E-2</c:v>
                </c:pt>
                <c:pt idx="86">
                  <c:v>2.9172401876232011E-2</c:v>
                </c:pt>
                <c:pt idx="87">
                  <c:v>2.8072317362543727E-2</c:v>
                </c:pt>
                <c:pt idx="88">
                  <c:v>2.7010147786750562E-2</c:v>
                </c:pt>
                <c:pt idx="89">
                  <c:v>2.5984811509129867E-2</c:v>
                </c:pt>
                <c:pt idx="90">
                  <c:v>2.4995242211045189E-2</c:v>
                </c:pt>
                <c:pt idx="91">
                  <c:v>2.4040389973264794E-2</c:v>
                </c:pt>
                <c:pt idx="92">
                  <c:v>2.3119222212657248E-2</c:v>
                </c:pt>
                <c:pt idx="93">
                  <c:v>2.2230724488513657E-2</c:v>
                </c:pt>
                <c:pt idx="94">
                  <c:v>2.1373901188985168E-2</c:v>
                </c:pt>
                <c:pt idx="95">
                  <c:v>2.054777610741151E-2</c:v>
                </c:pt>
                <c:pt idx="96">
                  <c:v>1.9751392917648072E-2</c:v>
                </c:pt>
                <c:pt idx="97">
                  <c:v>1.8983815556872504E-2</c:v>
                </c:pt>
                <c:pt idx="98">
                  <c:v>1.8244128523764634E-2</c:v>
                </c:pt>
                <c:pt idx="99">
                  <c:v>1.7531437099403999E-2</c:v>
                </c:pt>
                <c:pt idx="100">
                  <c:v>1.6844867497713668E-2</c:v>
                </c:pt>
              </c:numCache>
            </c:numRef>
          </c:yVal>
          <c:smooth val="0"/>
        </c:ser>
        <c:dLbls>
          <c:showLegendKey val="0"/>
          <c:showVal val="0"/>
          <c:showCatName val="0"/>
          <c:showSerName val="0"/>
          <c:showPercent val="0"/>
          <c:showBubbleSize val="0"/>
        </c:dLbls>
        <c:axId val="123499264"/>
        <c:axId val="123501184"/>
      </c:scatterChart>
      <c:valAx>
        <c:axId val="1234992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23501184"/>
        <c:crosses val="autoZero"/>
        <c:crossBetween val="midCat"/>
      </c:valAx>
      <c:valAx>
        <c:axId val="12350118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de-DE"/>
          </a:p>
        </c:txPr>
        <c:crossAx val="123499264"/>
        <c:crosses val="autoZero"/>
        <c:crossBetween val="midCat"/>
      </c:valAx>
      <c:spPr>
        <a:solidFill>
          <a:srgbClr val="E7E7F7"/>
        </a:solidFill>
        <a:ln w="12700">
          <a:solidFill>
            <a:srgbClr val="B1B1B1"/>
          </a:solidFill>
          <a:prstDash val="solid"/>
        </a:ln>
      </c:spPr>
    </c:plotArea>
    <c:legend>
      <c:legendPos val="r"/>
      <c:layout>
        <c:manualLayout>
          <c:xMode val="edge"/>
          <c:yMode val="edge"/>
          <c:x val="0.73524838103371049"/>
          <c:y val="0.46357615894039733"/>
          <c:w val="0.25199395530104185"/>
          <c:h val="0.14900662251655633"/>
        </c:manualLayout>
      </c:layout>
      <c:overlay val="0"/>
      <c:spPr>
        <a:solidFill>
          <a:srgbClr val="FFFFFF"/>
        </a:solidFill>
        <a:ln w="3175">
          <a:solidFill>
            <a:srgbClr val="000000"/>
          </a:solidFill>
          <a:prstDash val="solid"/>
        </a:ln>
      </c:spPr>
      <c:txPr>
        <a:bodyPr/>
        <a:lstStyle/>
        <a:p>
          <a:pPr>
            <a:defRPr sz="94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6</xdr:col>
      <xdr:colOff>9525</xdr:colOff>
      <xdr:row>24</xdr:row>
      <xdr:rowOff>142875</xdr:rowOff>
    </xdr:from>
    <xdr:to>
      <xdr:col>12</xdr:col>
      <xdr:colOff>76200</xdr:colOff>
      <xdr:row>41</xdr:row>
      <xdr:rowOff>104775</xdr:rowOff>
    </xdr:to>
    <xdr:graphicFrame macro="">
      <xdr:nvGraphicFramePr>
        <xdr:cNvPr id="166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44</xdr:row>
      <xdr:rowOff>19050</xdr:rowOff>
    </xdr:from>
    <xdr:to>
      <xdr:col>12</xdr:col>
      <xdr:colOff>114300</xdr:colOff>
      <xdr:row>59</xdr:row>
      <xdr:rowOff>104775</xdr:rowOff>
    </xdr:to>
    <xdr:graphicFrame macro="">
      <xdr:nvGraphicFramePr>
        <xdr:cNvPr id="1667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xdr:row>
          <xdr:rowOff>28575</xdr:rowOff>
        </xdr:from>
        <xdr:to>
          <xdr:col>2</xdr:col>
          <xdr:colOff>714375</xdr:colOff>
          <xdr:row>4</xdr:row>
          <xdr:rowOff>419100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828675</xdr:colOff>
      <xdr:row>20</xdr:row>
      <xdr:rowOff>161925</xdr:rowOff>
    </xdr:from>
    <xdr:to>
      <xdr:col>12</xdr:col>
      <xdr:colOff>495300</xdr:colOff>
      <xdr:row>38</xdr:row>
      <xdr:rowOff>76200</xdr:rowOff>
    </xdr:to>
    <xdr:graphicFrame macro="">
      <xdr:nvGraphicFramePr>
        <xdr:cNvPr id="1565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39</xdr:row>
      <xdr:rowOff>114300</xdr:rowOff>
    </xdr:from>
    <xdr:to>
      <xdr:col>12</xdr:col>
      <xdr:colOff>514350</xdr:colOff>
      <xdr:row>57</xdr:row>
      <xdr:rowOff>47625</xdr:rowOff>
    </xdr:to>
    <xdr:graphicFrame macro="">
      <xdr:nvGraphicFramePr>
        <xdr:cNvPr id="1565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4</xdr:row>
          <xdr:rowOff>38100</xdr:rowOff>
        </xdr:from>
        <xdr:to>
          <xdr:col>4</xdr:col>
          <xdr:colOff>9525</xdr:colOff>
          <xdr:row>4</xdr:row>
          <xdr:rowOff>466725</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4</xdr:row>
          <xdr:rowOff>19050</xdr:rowOff>
        </xdr:from>
        <xdr:to>
          <xdr:col>3</xdr:col>
          <xdr:colOff>771525</xdr:colOff>
          <xdr:row>4</xdr:row>
          <xdr:rowOff>438150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5</xdr:col>
      <xdr:colOff>752475</xdr:colOff>
      <xdr:row>26</xdr:row>
      <xdr:rowOff>9525</xdr:rowOff>
    </xdr:from>
    <xdr:to>
      <xdr:col>12</xdr:col>
      <xdr:colOff>57150</xdr:colOff>
      <xdr:row>42</xdr:row>
      <xdr:rowOff>133350</xdr:rowOff>
    </xdr:to>
    <xdr:graphicFrame macro="">
      <xdr:nvGraphicFramePr>
        <xdr:cNvPr id="1974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752475</xdr:colOff>
      <xdr:row>43</xdr:row>
      <xdr:rowOff>114300</xdr:rowOff>
    </xdr:from>
    <xdr:to>
      <xdr:col>12</xdr:col>
      <xdr:colOff>57150</xdr:colOff>
      <xdr:row>60</xdr:row>
      <xdr:rowOff>76200</xdr:rowOff>
    </xdr:to>
    <xdr:graphicFrame macro="">
      <xdr:nvGraphicFramePr>
        <xdr:cNvPr id="1974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228600</xdr:colOff>
      <xdr:row>22</xdr:row>
      <xdr:rowOff>9525</xdr:rowOff>
    </xdr:from>
    <xdr:to>
      <xdr:col>11</xdr:col>
      <xdr:colOff>257175</xdr:colOff>
      <xdr:row>38</xdr:row>
      <xdr:rowOff>114300</xdr:rowOff>
    </xdr:to>
    <xdr:graphicFrame macro="">
      <xdr:nvGraphicFramePr>
        <xdr:cNvPr id="1857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0</xdr:colOff>
          <xdr:row>4</xdr:row>
          <xdr:rowOff>66675</xdr:rowOff>
        </xdr:from>
        <xdr:to>
          <xdr:col>7</xdr:col>
          <xdr:colOff>1266825</xdr:colOff>
          <xdr:row>4</xdr:row>
          <xdr:rowOff>542925</xdr:rowOff>
        </xdr:to>
        <xdr:sp macro="" textlink="">
          <xdr:nvSpPr>
            <xdr:cNvPr id="24578" name="Object 2" hidden="1">
              <a:extLst>
                <a:ext uri="{63B3BB69-23CF-44E3-9099-C40C66FF867C}">
                  <a14:compatExt spid="_x0000_s24578"/>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9525</xdr:rowOff>
        </xdr:from>
        <xdr:to>
          <xdr:col>5</xdr:col>
          <xdr:colOff>933450</xdr:colOff>
          <xdr:row>4</xdr:row>
          <xdr:rowOff>485775</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xdr:row>
          <xdr:rowOff>19050</xdr:rowOff>
        </xdr:from>
        <xdr:to>
          <xdr:col>4</xdr:col>
          <xdr:colOff>409575</xdr:colOff>
          <xdr:row>4</xdr:row>
          <xdr:rowOff>542925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AFO%20Vorl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ttbewerbsanalyse"/>
      <sheetName val="Multiple Regression"/>
      <sheetName val="Marktanteilskoeffizient"/>
      <sheetName val="Multiple Regression (3)"/>
      <sheetName val="Tabelle2"/>
      <sheetName val="Tabelle3"/>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13.bin"/><Relationship Id="rId5" Type="http://schemas.openxmlformats.org/officeDocument/2006/relationships/image" Target="../media/image3.emf"/><Relationship Id="rId4" Type="http://schemas.openxmlformats.org/officeDocument/2006/relationships/oleObject" Target="../embeddings/oleObject3.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8.xml"/><Relationship Id="rId1" Type="http://schemas.openxmlformats.org/officeDocument/2006/relationships/printerSettings" Target="../printerSettings/printerSettings14.bin"/><Relationship Id="rId5" Type="http://schemas.openxmlformats.org/officeDocument/2006/relationships/image" Target="../media/image4.emf"/><Relationship Id="rId4" Type="http://schemas.openxmlformats.org/officeDocument/2006/relationships/oleObject" Target="../embeddings/oleObject4.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7.bin"/><Relationship Id="rId5" Type="http://schemas.openxmlformats.org/officeDocument/2006/relationships/image" Target="../media/image5.emf"/><Relationship Id="rId4" Type="http://schemas.openxmlformats.org/officeDocument/2006/relationships/oleObject" Target="../embeddings/oleObject5.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0.xml"/><Relationship Id="rId1" Type="http://schemas.openxmlformats.org/officeDocument/2006/relationships/printerSettings" Target="../printerSettings/printerSettings18.bin"/><Relationship Id="rId5" Type="http://schemas.openxmlformats.org/officeDocument/2006/relationships/image" Target="../media/image6.emf"/><Relationship Id="rId4" Type="http://schemas.openxmlformats.org/officeDocument/2006/relationships/oleObject" Target="../embeddings/oleObject6.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tabSelected="1" topLeftCell="B1" zoomScaleNormal="100" workbookViewId="0">
      <selection activeCell="I14" sqref="I14"/>
    </sheetView>
  </sheetViews>
  <sheetFormatPr baseColWidth="10" defaultRowHeight="12.75" x14ac:dyDescent="0.2"/>
  <cols>
    <col min="1" max="1" width="4.28515625" customWidth="1"/>
    <col min="2" max="2" width="12.5703125" customWidth="1"/>
    <col min="3" max="3" width="13.140625" customWidth="1"/>
    <col min="4" max="4" width="20.140625" customWidth="1"/>
    <col min="5" max="5" width="14" customWidth="1"/>
    <col min="6" max="6" width="16.5703125" customWidth="1"/>
  </cols>
  <sheetData>
    <row r="1" spans="1:13" ht="15.75" x14ac:dyDescent="0.25">
      <c r="B1" s="10" t="s">
        <v>8</v>
      </c>
      <c r="C1" s="11"/>
      <c r="D1" s="61"/>
      <c r="E1" s="599" t="s">
        <v>400</v>
      </c>
      <c r="F1" s="600"/>
      <c r="G1" s="600"/>
      <c r="H1" s="600"/>
      <c r="I1" s="600"/>
      <c r="J1" s="600"/>
      <c r="K1" s="600"/>
      <c r="L1" s="600"/>
      <c r="M1" s="600"/>
    </row>
    <row r="2" spans="1:13" ht="15.75" x14ac:dyDescent="0.25">
      <c r="B2" s="10" t="s">
        <v>16</v>
      </c>
      <c r="C2" s="11"/>
      <c r="D2" s="61"/>
      <c r="E2" s="599" t="s">
        <v>400</v>
      </c>
      <c r="F2" s="600"/>
      <c r="G2" s="600"/>
      <c r="H2" s="600"/>
      <c r="I2" s="600"/>
      <c r="J2" s="600"/>
      <c r="K2" s="600"/>
      <c r="L2" s="600"/>
      <c r="M2" s="600"/>
    </row>
    <row r="3" spans="1:13" ht="15" x14ac:dyDescent="0.2">
      <c r="B3" s="10" t="s">
        <v>17</v>
      </c>
      <c r="C3" s="11"/>
      <c r="D3" s="61"/>
      <c r="E3" s="601" t="s">
        <v>18</v>
      </c>
      <c r="F3" s="600"/>
      <c r="G3" s="600"/>
      <c r="H3" s="600"/>
      <c r="I3" s="600"/>
      <c r="J3" s="600"/>
      <c r="K3" s="600"/>
      <c r="L3" s="600"/>
      <c r="M3" s="600"/>
    </row>
    <row r="4" spans="1:13" ht="15" x14ac:dyDescent="0.2">
      <c r="B4" s="10" t="s">
        <v>19</v>
      </c>
      <c r="C4" s="11"/>
      <c r="D4" s="61"/>
      <c r="E4" s="612" t="s">
        <v>401</v>
      </c>
      <c r="F4" s="600"/>
      <c r="G4" s="600"/>
      <c r="H4" s="600"/>
      <c r="I4" s="600"/>
      <c r="J4" s="600"/>
      <c r="K4" s="600"/>
      <c r="L4" s="600"/>
      <c r="M4" s="600"/>
    </row>
    <row r="5" spans="1:13" ht="66" customHeight="1" x14ac:dyDescent="0.2">
      <c r="B5" s="13" t="s">
        <v>20</v>
      </c>
      <c r="C5" s="61"/>
      <c r="D5" s="611" t="s">
        <v>131</v>
      </c>
      <c r="E5" s="600"/>
      <c r="F5" s="600"/>
      <c r="G5" s="600"/>
      <c r="H5" s="600"/>
      <c r="I5" s="600"/>
      <c r="J5" s="600"/>
      <c r="K5" s="600"/>
      <c r="L5" s="600"/>
      <c r="M5" s="600"/>
    </row>
    <row r="6" spans="1:13" s="5" customFormat="1" ht="15.95" customHeight="1" x14ac:dyDescent="0.2">
      <c r="B6" s="538"/>
      <c r="D6" s="539"/>
      <c r="E6" s="189"/>
      <c r="F6" s="189"/>
      <c r="G6" s="189"/>
      <c r="H6" s="189"/>
      <c r="I6" s="189"/>
      <c r="J6" s="189"/>
      <c r="K6" s="189"/>
      <c r="L6" s="189"/>
      <c r="M6" s="189"/>
    </row>
    <row r="7" spans="1:13" s="5" customFormat="1" ht="15.95" customHeight="1" thickBot="1" x14ac:dyDescent="0.25">
      <c r="B7" s="545" t="s">
        <v>402</v>
      </c>
      <c r="C7" s="546"/>
      <c r="D7" s="541"/>
      <c r="E7" s="542"/>
      <c r="F7" s="542"/>
      <c r="G7" s="189"/>
      <c r="H7" s="189"/>
      <c r="I7" s="189"/>
      <c r="J7" s="189"/>
      <c r="K7" s="189"/>
      <c r="L7" s="189"/>
      <c r="M7" s="189"/>
    </row>
    <row r="8" spans="1:13" s="5" customFormat="1" ht="15.95" customHeight="1" thickBot="1" x14ac:dyDescent="0.25">
      <c r="A8" s="19"/>
      <c r="B8" s="522" t="s">
        <v>344</v>
      </c>
      <c r="C8" s="522"/>
      <c r="D8" s="552"/>
      <c r="E8" s="613" t="s">
        <v>343</v>
      </c>
      <c r="F8" s="614"/>
      <c r="G8" s="189"/>
      <c r="H8" s="189"/>
      <c r="I8" s="189"/>
      <c r="J8" s="189"/>
      <c r="K8" s="189"/>
      <c r="L8" s="189"/>
      <c r="M8" s="189"/>
    </row>
    <row r="9" spans="1:13" s="5" customFormat="1" ht="15.95" customHeight="1" x14ac:dyDescent="0.2">
      <c r="A9" s="19"/>
      <c r="B9" s="5" t="s">
        <v>345</v>
      </c>
      <c r="C9" s="539"/>
      <c r="D9" s="543"/>
      <c r="E9" s="615">
        <v>0.68547058100000002</v>
      </c>
      <c r="F9" s="607"/>
      <c r="G9" s="189"/>
      <c r="H9" s="189"/>
      <c r="I9" s="189"/>
      <c r="J9" s="189"/>
      <c r="K9" s="189"/>
      <c r="L9" s="189"/>
      <c r="M9" s="189"/>
    </row>
    <row r="10" spans="1:13" s="5" customFormat="1" ht="15.95" customHeight="1" x14ac:dyDescent="0.2">
      <c r="A10" s="19"/>
      <c r="B10" s="547" t="s">
        <v>346</v>
      </c>
      <c r="C10" s="548"/>
      <c r="D10" s="161"/>
      <c r="E10" s="616">
        <v>8</v>
      </c>
      <c r="F10" s="607"/>
      <c r="G10" s="189"/>
      <c r="H10" s="189"/>
      <c r="I10" s="189"/>
      <c r="J10" s="189"/>
      <c r="K10" s="189"/>
      <c r="L10" s="189"/>
      <c r="M10" s="189"/>
    </row>
    <row r="11" spans="1:13" s="5" customFormat="1" ht="15.95" customHeight="1" x14ac:dyDescent="0.2">
      <c r="A11" s="19"/>
      <c r="B11" s="5" t="s">
        <v>346</v>
      </c>
      <c r="C11" s="539"/>
      <c r="D11" s="543"/>
      <c r="E11" s="615">
        <v>10</v>
      </c>
      <c r="F11" s="607"/>
      <c r="G11" s="189"/>
      <c r="H11" s="189"/>
      <c r="I11" s="189"/>
      <c r="J11" s="189"/>
      <c r="K11" s="189"/>
      <c r="L11" s="189"/>
      <c r="M11" s="189"/>
    </row>
    <row r="12" spans="1:13" s="5" customFormat="1" ht="15.95" customHeight="1" x14ac:dyDescent="0.2">
      <c r="A12" s="19"/>
      <c r="B12" s="547" t="s">
        <v>262</v>
      </c>
      <c r="C12" s="548"/>
      <c r="D12" s="161"/>
      <c r="E12" s="616">
        <v>1</v>
      </c>
      <c r="F12" s="607"/>
      <c r="G12" s="189"/>
      <c r="H12" s="189"/>
      <c r="I12" s="189"/>
      <c r="J12" s="189"/>
      <c r="K12" s="189"/>
      <c r="L12" s="189"/>
      <c r="M12" s="189"/>
    </row>
    <row r="13" spans="1:13" s="5" customFormat="1" ht="15.95" customHeight="1" thickBot="1" x14ac:dyDescent="0.25">
      <c r="A13" s="19"/>
      <c r="B13" s="317" t="s">
        <v>263</v>
      </c>
      <c r="C13" s="541"/>
      <c r="D13" s="544"/>
      <c r="E13" s="617">
        <v>3</v>
      </c>
      <c r="F13" s="610"/>
      <c r="G13" s="189"/>
      <c r="H13" s="189"/>
      <c r="I13" s="189"/>
      <c r="J13" s="189"/>
      <c r="K13" s="189"/>
      <c r="L13" s="189"/>
      <c r="M13" s="189"/>
    </row>
    <row r="14" spans="1:13" s="5" customFormat="1" ht="15.95" customHeight="1" thickBot="1" x14ac:dyDescent="0.3">
      <c r="A14" s="19"/>
      <c r="B14" s="549" t="s">
        <v>400</v>
      </c>
      <c r="C14" s="550"/>
      <c r="D14" s="551"/>
      <c r="E14" s="618">
        <f>_xlfn.BETA.INV(E9,E10,E11,E12,E13)</f>
        <v>1.9999999999631426</v>
      </c>
      <c r="F14" s="610"/>
      <c r="G14" s="189"/>
      <c r="H14" s="189"/>
      <c r="I14" s="189"/>
      <c r="J14" s="189"/>
      <c r="K14" s="189"/>
      <c r="L14" s="189"/>
      <c r="M14" s="189"/>
    </row>
    <row r="15" spans="1:13" s="5" customFormat="1" ht="15.95" customHeight="1" x14ac:dyDescent="0.2">
      <c r="B15" s="538"/>
      <c r="D15" s="539"/>
      <c r="E15" s="553" t="s">
        <v>403</v>
      </c>
      <c r="F15" s="189"/>
      <c r="G15" s="189"/>
      <c r="H15" s="189"/>
      <c r="I15" s="189"/>
      <c r="J15" s="189"/>
      <c r="K15" s="189"/>
      <c r="L15" s="189"/>
      <c r="M15" s="189"/>
    </row>
    <row r="16" spans="1:13" ht="13.5" thickBot="1" x14ac:dyDescent="0.25">
      <c r="B16" s="22"/>
      <c r="C16" s="22"/>
    </row>
    <row r="17" spans="2:9" ht="13.5" thickBot="1" x14ac:dyDescent="0.25">
      <c r="B17" s="597" t="s">
        <v>137</v>
      </c>
      <c r="C17" s="598"/>
      <c r="G17" s="602" t="s">
        <v>135</v>
      </c>
      <c r="H17" s="603"/>
      <c r="I17" s="604"/>
    </row>
    <row r="18" spans="2:9" ht="13.5" thickBot="1" x14ac:dyDescent="0.25">
      <c r="B18" s="305" t="s">
        <v>138</v>
      </c>
      <c r="C18" s="306" t="s">
        <v>139</v>
      </c>
      <c r="E18" s="285"/>
      <c r="G18" s="605"/>
      <c r="H18" s="606"/>
      <c r="I18" s="607"/>
    </row>
    <row r="19" spans="2:9" ht="13.5" thickBot="1" x14ac:dyDescent="0.25">
      <c r="B19" s="303">
        <v>2</v>
      </c>
      <c r="C19" s="304">
        <v>2</v>
      </c>
      <c r="E19" s="285"/>
      <c r="G19" s="605"/>
      <c r="H19" s="606"/>
      <c r="I19" s="607"/>
    </row>
    <row r="20" spans="2:9" ht="13.5" thickBot="1" x14ac:dyDescent="0.25">
      <c r="B20" s="287"/>
      <c r="C20" s="287"/>
      <c r="E20" s="285"/>
      <c r="G20" s="608"/>
      <c r="H20" s="609"/>
      <c r="I20" s="610"/>
    </row>
    <row r="21" spans="2:9" ht="13.5" thickBot="1" x14ac:dyDescent="0.25">
      <c r="B21" s="299" t="s">
        <v>140</v>
      </c>
      <c r="C21" s="300" t="s">
        <v>404</v>
      </c>
      <c r="D21" s="300" t="s">
        <v>141</v>
      </c>
      <c r="E21" s="294" t="s">
        <v>400</v>
      </c>
      <c r="G21" s="53" t="s">
        <v>136</v>
      </c>
      <c r="H21" s="85"/>
      <c r="I21" s="307">
        <v>0.01</v>
      </c>
    </row>
    <row r="22" spans="2:9" x14ac:dyDescent="0.2">
      <c r="B22" s="53">
        <v>0</v>
      </c>
      <c r="C22" s="24">
        <f t="shared" ref="C22:C53" si="0">BETADIST(B22,$B$19,$C$19)</f>
        <v>0</v>
      </c>
      <c r="D22" s="302"/>
      <c r="E22" s="17"/>
      <c r="G22" s="295" t="s">
        <v>133</v>
      </c>
      <c r="H22" s="18"/>
      <c r="I22" s="33">
        <f>B19</f>
        <v>2</v>
      </c>
    </row>
    <row r="23" spans="2:9" x14ac:dyDescent="0.2">
      <c r="B23" s="295">
        <v>0.01</v>
      </c>
      <c r="C23" s="25">
        <f t="shared" si="0"/>
        <v>2.9800000000000025E-4</v>
      </c>
      <c r="D23" s="25">
        <f>C23-C22</f>
        <v>2.9800000000000025E-4</v>
      </c>
      <c r="E23" s="296">
        <f>_xlfn.BETA.INV(B23,$B$19,$C$19)</f>
        <v>5.8903135778195247E-2</v>
      </c>
      <c r="F23" s="1"/>
      <c r="G23" s="53" t="s">
        <v>134</v>
      </c>
      <c r="H23" s="17"/>
      <c r="I23" s="32">
        <f>C19</f>
        <v>2</v>
      </c>
    </row>
    <row r="24" spans="2:9" ht="13.5" thickBot="1" x14ac:dyDescent="0.25">
      <c r="B24" s="53">
        <v>0.02</v>
      </c>
      <c r="C24" s="24">
        <f t="shared" si="0"/>
        <v>1.1840000000000004E-3</v>
      </c>
      <c r="D24" s="24">
        <f t="shared" ref="D24:D87" si="1">C24-C23</f>
        <v>8.8600000000000007E-4</v>
      </c>
      <c r="E24" s="296">
        <f t="shared" ref="E24:E87" si="2">_xlfn.BETA.INV(B24,$B$19,$C$19)</f>
        <v>8.4037699393241641E-2</v>
      </c>
      <c r="G24" s="114" t="s">
        <v>405</v>
      </c>
      <c r="H24" s="308"/>
      <c r="I24" s="309">
        <f>BETAINV(I21,I22,I23)</f>
        <v>5.8903135778195247E-2</v>
      </c>
    </row>
    <row r="25" spans="2:9" x14ac:dyDescent="0.2">
      <c r="B25" s="295">
        <v>0.03</v>
      </c>
      <c r="C25" s="25">
        <f t="shared" si="0"/>
        <v>2.6459999999999995E-3</v>
      </c>
      <c r="D25" s="25">
        <f t="shared" si="1"/>
        <v>1.4619999999999991E-3</v>
      </c>
      <c r="E25" s="296">
        <f t="shared" si="2"/>
        <v>0.10364483924951282</v>
      </c>
    </row>
    <row r="26" spans="2:9" x14ac:dyDescent="0.2">
      <c r="B26" s="53">
        <v>0.04</v>
      </c>
      <c r="C26" s="24">
        <f t="shared" si="0"/>
        <v>4.6720000000000025E-3</v>
      </c>
      <c r="D26" s="24">
        <f t="shared" si="1"/>
        <v>2.0260000000000031E-3</v>
      </c>
      <c r="E26" s="296">
        <f t="shared" si="2"/>
        <v>0.12040345486498953</v>
      </c>
    </row>
    <row r="27" spans="2:9" x14ac:dyDescent="0.2">
      <c r="B27" s="295">
        <v>0.05</v>
      </c>
      <c r="C27" s="25">
        <f t="shared" si="0"/>
        <v>7.2500000000000012E-3</v>
      </c>
      <c r="D27" s="25">
        <f t="shared" si="1"/>
        <v>2.5779999999999987E-3</v>
      </c>
      <c r="E27" s="296">
        <f t="shared" si="2"/>
        <v>0.13535036217158378</v>
      </c>
    </row>
    <row r="28" spans="2:9" x14ac:dyDescent="0.2">
      <c r="B28" s="53">
        <v>0.06</v>
      </c>
      <c r="C28" s="24">
        <f t="shared" si="0"/>
        <v>1.0367999999999999E-2</v>
      </c>
      <c r="D28" s="24">
        <f t="shared" si="1"/>
        <v>3.1179999999999975E-3</v>
      </c>
      <c r="E28" s="296">
        <f t="shared" si="2"/>
        <v>0.14901695254532629</v>
      </c>
    </row>
    <row r="29" spans="2:9" x14ac:dyDescent="0.2">
      <c r="B29" s="295">
        <v>7.0000000000000007E-2</v>
      </c>
      <c r="C29" s="25">
        <f t="shared" si="0"/>
        <v>1.4014000000000006E-2</v>
      </c>
      <c r="D29" s="25">
        <f t="shared" si="1"/>
        <v>3.6460000000000069E-3</v>
      </c>
      <c r="E29" s="296">
        <f t="shared" si="2"/>
        <v>0.16171873006814813</v>
      </c>
    </row>
    <row r="30" spans="2:9" x14ac:dyDescent="0.2">
      <c r="B30" s="53">
        <v>0.08</v>
      </c>
      <c r="C30" s="24">
        <f t="shared" si="0"/>
        <v>1.8175999999999991E-2</v>
      </c>
      <c r="D30" s="24">
        <f t="shared" si="1"/>
        <v>4.1619999999999852E-3</v>
      </c>
      <c r="E30" s="296">
        <f t="shared" si="2"/>
        <v>0.17366118321649368</v>
      </c>
    </row>
    <row r="31" spans="2:9" x14ac:dyDescent="0.2">
      <c r="B31" s="295">
        <v>0.09</v>
      </c>
      <c r="C31" s="25">
        <f t="shared" si="0"/>
        <v>2.2841999999999987E-2</v>
      </c>
      <c r="D31" s="25">
        <f t="shared" si="1"/>
        <v>4.6659999999999965E-3</v>
      </c>
      <c r="E31" s="296">
        <f t="shared" si="2"/>
        <v>0.18498701119895614</v>
      </c>
    </row>
    <row r="32" spans="2:9" x14ac:dyDescent="0.2">
      <c r="B32" s="53">
        <v>0.1</v>
      </c>
      <c r="C32" s="24">
        <f t="shared" si="0"/>
        <v>2.8000000000000011E-2</v>
      </c>
      <c r="D32" s="24">
        <f t="shared" si="1"/>
        <v>5.1580000000000237E-3</v>
      </c>
      <c r="E32" s="296">
        <f t="shared" si="2"/>
        <v>0.19580010565909176</v>
      </c>
    </row>
    <row r="33" spans="2:5" x14ac:dyDescent="0.2">
      <c r="B33" s="295">
        <v>0.11</v>
      </c>
      <c r="C33" s="25">
        <f t="shared" si="0"/>
        <v>3.3638000000000001E-2</v>
      </c>
      <c r="D33" s="25">
        <f t="shared" si="1"/>
        <v>5.6379999999999902E-3</v>
      </c>
      <c r="E33" s="296">
        <f t="shared" si="2"/>
        <v>0.20617890606575373</v>
      </c>
    </row>
    <row r="34" spans="2:5" x14ac:dyDescent="0.2">
      <c r="B34" s="53">
        <v>0.12</v>
      </c>
      <c r="C34" s="24">
        <f t="shared" si="0"/>
        <v>3.9744000000000002E-2</v>
      </c>
      <c r="D34" s="24">
        <f t="shared" si="1"/>
        <v>6.1060000000000003E-3</v>
      </c>
      <c r="E34" s="296">
        <f t="shared" si="2"/>
        <v>0.21618437233106988</v>
      </c>
    </row>
    <row r="35" spans="2:5" x14ac:dyDescent="0.2">
      <c r="B35" s="295">
        <v>0.13</v>
      </c>
      <c r="C35" s="25">
        <f t="shared" si="0"/>
        <v>4.6306E-2</v>
      </c>
      <c r="D35" s="25">
        <f t="shared" si="1"/>
        <v>6.5619999999999984E-3</v>
      </c>
      <c r="E35" s="296">
        <f t="shared" si="2"/>
        <v>0.22586500998301304</v>
      </c>
    </row>
    <row r="36" spans="2:5" x14ac:dyDescent="0.2">
      <c r="B36" s="53">
        <v>0.14000000000000001</v>
      </c>
      <c r="C36" s="24">
        <f t="shared" si="0"/>
        <v>5.3311999999999998E-2</v>
      </c>
      <c r="D36" s="24">
        <f t="shared" si="1"/>
        <v>7.0059999999999983E-3</v>
      </c>
      <c r="E36" s="296">
        <f t="shared" si="2"/>
        <v>0.23526017930091103</v>
      </c>
    </row>
    <row r="37" spans="2:5" x14ac:dyDescent="0.2">
      <c r="B37" s="295">
        <v>0.15</v>
      </c>
      <c r="C37" s="25">
        <f t="shared" si="0"/>
        <v>6.0750000000000005E-2</v>
      </c>
      <c r="D37" s="25">
        <f t="shared" si="1"/>
        <v>7.4380000000000071E-3</v>
      </c>
      <c r="E37" s="296">
        <f t="shared" si="2"/>
        <v>0.24440235445092226</v>
      </c>
    </row>
    <row r="38" spans="2:5" x14ac:dyDescent="0.2">
      <c r="B38" s="53">
        <v>0.16</v>
      </c>
      <c r="C38" s="24">
        <f t="shared" si="0"/>
        <v>6.8607999999999975E-2</v>
      </c>
      <c r="D38" s="24">
        <f t="shared" si="1"/>
        <v>7.8579999999999692E-3</v>
      </c>
      <c r="E38" s="296">
        <f t="shared" si="2"/>
        <v>0.25331871317154919</v>
      </c>
    </row>
    <row r="39" spans="2:5" x14ac:dyDescent="0.2">
      <c r="B39" s="295">
        <v>0.17</v>
      </c>
      <c r="C39" s="25">
        <f t="shared" si="0"/>
        <v>7.6874000000000012E-2</v>
      </c>
      <c r="D39" s="25">
        <f t="shared" si="1"/>
        <v>8.2660000000000372E-3</v>
      </c>
      <c r="E39" s="296">
        <f t="shared" si="2"/>
        <v>0.26203228458704048</v>
      </c>
    </row>
    <row r="40" spans="2:5" x14ac:dyDescent="0.2">
      <c r="B40" s="53">
        <v>0.18</v>
      </c>
      <c r="C40" s="24">
        <f t="shared" si="0"/>
        <v>8.5536000000000015E-2</v>
      </c>
      <c r="D40" s="24">
        <f t="shared" si="1"/>
        <v>8.662000000000003E-3</v>
      </c>
      <c r="E40" s="296">
        <f t="shared" si="2"/>
        <v>0.27056279659674243</v>
      </c>
    </row>
    <row r="41" spans="2:5" x14ac:dyDescent="0.2">
      <c r="B41" s="295">
        <v>0.19</v>
      </c>
      <c r="C41" s="25">
        <f t="shared" si="0"/>
        <v>9.4581999999999999E-2</v>
      </c>
      <c r="D41" s="25">
        <f t="shared" si="1"/>
        <v>9.0459999999999846E-3</v>
      </c>
      <c r="E41" s="296">
        <f t="shared" si="2"/>
        <v>0.27892731371169138</v>
      </c>
    </row>
    <row r="42" spans="2:5" x14ac:dyDescent="0.2">
      <c r="B42" s="53">
        <v>0.2</v>
      </c>
      <c r="C42" s="24">
        <f t="shared" si="0"/>
        <v>0.10400000000000002</v>
      </c>
      <c r="D42" s="24">
        <f t="shared" si="1"/>
        <v>9.4180000000000236E-3</v>
      </c>
      <c r="E42" s="296">
        <f t="shared" si="2"/>
        <v>0.28714072541674046</v>
      </c>
    </row>
    <row r="43" spans="2:5" x14ac:dyDescent="0.2">
      <c r="B43" s="295">
        <v>0.21</v>
      </c>
      <c r="C43" s="25">
        <f t="shared" si="0"/>
        <v>0.113778</v>
      </c>
      <c r="D43" s="25">
        <f t="shared" si="1"/>
        <v>9.7779999999999812E-3</v>
      </c>
      <c r="E43" s="296">
        <f t="shared" si="2"/>
        <v>0.29521612578951922</v>
      </c>
    </row>
    <row r="44" spans="2:5" x14ac:dyDescent="0.2">
      <c r="B44" s="53">
        <v>0.22</v>
      </c>
      <c r="C44" s="24">
        <f t="shared" si="0"/>
        <v>0.12390399999999999</v>
      </c>
      <c r="D44" s="24">
        <f t="shared" si="1"/>
        <v>1.0125999999999982E-2</v>
      </c>
      <c r="E44" s="296">
        <f t="shared" si="2"/>
        <v>0.30316511261142159</v>
      </c>
    </row>
    <row r="45" spans="2:5" x14ac:dyDescent="0.2">
      <c r="B45" s="295">
        <v>0.23</v>
      </c>
      <c r="C45" s="25">
        <f t="shared" si="0"/>
        <v>0.13436599999999999</v>
      </c>
      <c r="D45" s="25">
        <f t="shared" si="1"/>
        <v>1.0461999999999999E-2</v>
      </c>
      <c r="E45" s="296">
        <f t="shared" si="2"/>
        <v>0.31099802593470888</v>
      </c>
    </row>
    <row r="46" spans="2:5" x14ac:dyDescent="0.2">
      <c r="B46" s="53">
        <v>0.24</v>
      </c>
      <c r="C46" s="24">
        <f t="shared" si="0"/>
        <v>0.14515199999999995</v>
      </c>
      <c r="D46" s="24">
        <f t="shared" si="1"/>
        <v>1.0785999999999962E-2</v>
      </c>
      <c r="E46" s="296">
        <f t="shared" si="2"/>
        <v>0.31872414047436848</v>
      </c>
    </row>
    <row r="47" spans="2:5" x14ac:dyDescent="0.2">
      <c r="B47" s="295">
        <v>0.25</v>
      </c>
      <c r="C47" s="25">
        <f t="shared" si="0"/>
        <v>0.15625</v>
      </c>
      <c r="D47" s="25">
        <f t="shared" si="1"/>
        <v>1.1098000000000052E-2</v>
      </c>
      <c r="E47" s="296">
        <f t="shared" si="2"/>
        <v>0.3263518223330697</v>
      </c>
    </row>
    <row r="48" spans="2:5" x14ac:dyDescent="0.2">
      <c r="B48" s="53">
        <v>0.26</v>
      </c>
      <c r="C48" s="24">
        <f t="shared" si="0"/>
        <v>0.16764800000000002</v>
      </c>
      <c r="D48" s="24">
        <f t="shared" si="1"/>
        <v>1.1398000000000019E-2</v>
      </c>
      <c r="E48" s="296">
        <f t="shared" si="2"/>
        <v>0.33388865785677502</v>
      </c>
    </row>
    <row r="49" spans="2:5" x14ac:dyDescent="0.2">
      <c r="B49" s="295">
        <v>0.27</v>
      </c>
      <c r="C49" s="25">
        <f t="shared" si="0"/>
        <v>0.17933399999999999</v>
      </c>
      <c r="D49" s="25">
        <f t="shared" si="1"/>
        <v>1.1685999999999974E-2</v>
      </c>
      <c r="E49" s="296">
        <f t="shared" si="2"/>
        <v>0.3413415604841713</v>
      </c>
    </row>
    <row r="50" spans="2:5" x14ac:dyDescent="0.2">
      <c r="B50" s="53">
        <v>0.28000000000000003</v>
      </c>
      <c r="C50" s="24">
        <f t="shared" si="0"/>
        <v>0.19129600000000005</v>
      </c>
      <c r="D50" s="24">
        <f t="shared" si="1"/>
        <v>1.1962000000000056E-2</v>
      </c>
      <c r="E50" s="296">
        <f t="shared" si="2"/>
        <v>0.34871686005233737</v>
      </c>
    </row>
    <row r="51" spans="2:5" x14ac:dyDescent="0.2">
      <c r="B51" s="295">
        <v>0.28999999999999998</v>
      </c>
      <c r="C51" s="25">
        <f t="shared" si="0"/>
        <v>0.20352199999999993</v>
      </c>
      <c r="D51" s="25">
        <f t="shared" si="1"/>
        <v>1.2225999999999876E-2</v>
      </c>
      <c r="E51" s="296">
        <f t="shared" si="2"/>
        <v>0.3560203779930779</v>
      </c>
    </row>
    <row r="52" spans="2:5" x14ac:dyDescent="0.2">
      <c r="B52" s="53">
        <v>0.3</v>
      </c>
      <c r="C52" s="24">
        <f t="shared" si="0"/>
        <v>0.21599999999999994</v>
      </c>
      <c r="D52" s="24">
        <f t="shared" si="1"/>
        <v>1.2478000000000017E-2</v>
      </c>
      <c r="E52" s="296">
        <f t="shared" si="2"/>
        <v>0.3632574910905676</v>
      </c>
    </row>
    <row r="53" spans="2:5" x14ac:dyDescent="0.2">
      <c r="B53" s="295">
        <v>0.31</v>
      </c>
      <c r="C53" s="25">
        <f t="shared" si="0"/>
        <v>0.228718</v>
      </c>
      <c r="D53" s="25">
        <f t="shared" si="1"/>
        <v>1.2718000000000063E-2</v>
      </c>
      <c r="E53" s="296">
        <f t="shared" si="2"/>
        <v>0.37043318589700985</v>
      </c>
    </row>
    <row r="54" spans="2:5" x14ac:dyDescent="0.2">
      <c r="B54" s="53">
        <v>0.32</v>
      </c>
      <c r="C54" s="24">
        <f t="shared" ref="C54:C85" si="3">BETADIST(B54,$B$19,$C$19)</f>
        <v>0.24166399999999996</v>
      </c>
      <c r="D54" s="24">
        <f t="shared" si="1"/>
        <v>1.2945999999999958E-2</v>
      </c>
      <c r="E54" s="296">
        <f t="shared" si="2"/>
        <v>0.37755210546718287</v>
      </c>
    </row>
    <row r="55" spans="2:5" x14ac:dyDescent="0.2">
      <c r="B55" s="295">
        <v>0.33</v>
      </c>
      <c r="C55" s="25">
        <f t="shared" si="3"/>
        <v>0.254826</v>
      </c>
      <c r="D55" s="25">
        <f t="shared" si="1"/>
        <v>1.3162000000000035E-2</v>
      </c>
      <c r="E55" s="296">
        <f t="shared" si="2"/>
        <v>0.38461858973858176</v>
      </c>
    </row>
    <row r="56" spans="2:5" x14ac:dyDescent="0.2">
      <c r="B56" s="53">
        <v>0.34</v>
      </c>
      <c r="C56" s="24">
        <f t="shared" si="3"/>
        <v>0.2681920000000001</v>
      </c>
      <c r="D56" s="24">
        <f t="shared" si="1"/>
        <v>1.33660000000001E-2</v>
      </c>
      <c r="E56" s="296">
        <f t="shared" si="2"/>
        <v>0.39163671062533895</v>
      </c>
    </row>
    <row r="57" spans="2:5" x14ac:dyDescent="0.2">
      <c r="B57" s="295">
        <v>0.35</v>
      </c>
      <c r="C57" s="25">
        <f t="shared" si="3"/>
        <v>0.28174999999999994</v>
      </c>
      <c r="D57" s="25">
        <f t="shared" si="1"/>
        <v>1.3557999999999848E-2</v>
      </c>
      <c r="E57" s="296">
        <f t="shared" si="2"/>
        <v>0.39861030269243491</v>
      </c>
    </row>
    <row r="58" spans="2:5" x14ac:dyDescent="0.2">
      <c r="B58" s="53">
        <v>0.36</v>
      </c>
      <c r="C58" s="24">
        <f t="shared" si="3"/>
        <v>0.29548799999999997</v>
      </c>
      <c r="D58" s="24">
        <f t="shared" si="1"/>
        <v>1.3738000000000028E-2</v>
      </c>
      <c r="E58" s="296">
        <f t="shared" si="2"/>
        <v>0.40554299011818346</v>
      </c>
    </row>
    <row r="59" spans="2:5" x14ac:dyDescent="0.2">
      <c r="B59" s="295">
        <v>0.37</v>
      </c>
      <c r="C59" s="25">
        <f t="shared" si="3"/>
        <v>0.309394</v>
      </c>
      <c r="D59" s="25">
        <f t="shared" si="1"/>
        <v>1.3906000000000029E-2</v>
      </c>
      <c r="E59" s="296">
        <f t="shared" si="2"/>
        <v>0.41243821052747748</v>
      </c>
    </row>
    <row r="60" spans="2:5" x14ac:dyDescent="0.2">
      <c r="B60" s="53">
        <v>0.38</v>
      </c>
      <c r="C60" s="24">
        <f t="shared" si="3"/>
        <v>0.32345599999999997</v>
      </c>
      <c r="D60" s="24">
        <f t="shared" si="1"/>
        <v>1.4061999999999963E-2</v>
      </c>
      <c r="E60" s="296">
        <f t="shared" si="2"/>
        <v>0.41929923617828657</v>
      </c>
    </row>
    <row r="61" spans="2:5" x14ac:dyDescent="0.2">
      <c r="B61" s="295">
        <v>0.39</v>
      </c>
      <c r="C61" s="25">
        <f t="shared" si="3"/>
        <v>0.33766200000000002</v>
      </c>
      <c r="D61" s="25">
        <f t="shared" si="1"/>
        <v>1.4206000000000052E-2</v>
      </c>
      <c r="E61" s="296">
        <f t="shared" si="2"/>
        <v>0.42612919290376039</v>
      </c>
    </row>
    <row r="62" spans="2:5" x14ac:dyDescent="0.2">
      <c r="B62" s="53">
        <v>0.4</v>
      </c>
      <c r="C62" s="24">
        <f t="shared" si="3"/>
        <v>0.35199999999999998</v>
      </c>
      <c r="D62" s="24">
        <f t="shared" si="1"/>
        <v>1.4337999999999962E-2</v>
      </c>
      <c r="E62" s="296">
        <f t="shared" si="2"/>
        <v>0.43293107714773177</v>
      </c>
    </row>
    <row r="63" spans="2:5" x14ac:dyDescent="0.2">
      <c r="B63" s="295">
        <v>0.41</v>
      </c>
      <c r="C63" s="25">
        <f t="shared" si="3"/>
        <v>0.36645799999999995</v>
      </c>
      <c r="D63" s="25">
        <f t="shared" si="1"/>
        <v>1.4457999999999971E-2</v>
      </c>
      <c r="E63" s="296">
        <f t="shared" si="2"/>
        <v>0.43970777137916983</v>
      </c>
    </row>
    <row r="64" spans="2:5" x14ac:dyDescent="0.2">
      <c r="B64" s="53">
        <v>0.42</v>
      </c>
      <c r="C64" s="24">
        <f t="shared" si="3"/>
        <v>0.38102399999999992</v>
      </c>
      <c r="D64" s="24">
        <f t="shared" si="1"/>
        <v>1.4565999999999968E-2</v>
      </c>
      <c r="E64" s="296">
        <f t="shared" si="2"/>
        <v>0.44646205812870476</v>
      </c>
    </row>
    <row r="65" spans="2:5" x14ac:dyDescent="0.2">
      <c r="B65" s="295">
        <v>0.43</v>
      </c>
      <c r="C65" s="25">
        <f t="shared" si="3"/>
        <v>0.39568599999999998</v>
      </c>
      <c r="D65" s="25">
        <f t="shared" si="1"/>
        <v>1.4662000000000064E-2</v>
      </c>
      <c r="E65" s="296">
        <f t="shared" si="2"/>
        <v>0.45319663285579537</v>
      </c>
    </row>
    <row r="66" spans="2:5" x14ac:dyDescent="0.2">
      <c r="B66" s="53">
        <v>0.44</v>
      </c>
      <c r="C66" s="24">
        <f t="shared" si="3"/>
        <v>0.41043200000000002</v>
      </c>
      <c r="D66" s="24">
        <f t="shared" si="1"/>
        <v>1.4746000000000037E-2</v>
      </c>
      <c r="E66" s="296">
        <f t="shared" si="2"/>
        <v>0.45991411582693992</v>
      </c>
    </row>
    <row r="67" spans="2:5" x14ac:dyDescent="0.2">
      <c r="B67" s="295">
        <v>0.45</v>
      </c>
      <c r="C67" s="25">
        <f t="shared" si="3"/>
        <v>0.42525000000000002</v>
      </c>
      <c r="D67" s="25">
        <f t="shared" si="1"/>
        <v>1.4817999999999998E-2</v>
      </c>
      <c r="E67" s="296">
        <f t="shared" si="2"/>
        <v>0.46661706316236778</v>
      </c>
    </row>
    <row r="68" spans="2:5" x14ac:dyDescent="0.2">
      <c r="B68" s="53">
        <v>0.46</v>
      </c>
      <c r="C68" s="24">
        <f t="shared" si="3"/>
        <v>0.44012800000000007</v>
      </c>
      <c r="D68" s="24">
        <f t="shared" si="1"/>
        <v>1.4878000000000058E-2</v>
      </c>
      <c r="E68" s="296">
        <f t="shared" si="2"/>
        <v>0.47330797718997364</v>
      </c>
    </row>
    <row r="69" spans="2:5" x14ac:dyDescent="0.2">
      <c r="B69" s="295">
        <v>0.47</v>
      </c>
      <c r="C69" s="25">
        <f t="shared" si="3"/>
        <v>0.45505399999999996</v>
      </c>
      <c r="D69" s="25">
        <f t="shared" si="1"/>
        <v>1.4925999999999884E-2</v>
      </c>
      <c r="E69" s="296">
        <f t="shared" si="2"/>
        <v>0.47998931623016849</v>
      </c>
    </row>
    <row r="70" spans="2:5" x14ac:dyDescent="0.2">
      <c r="B70" s="53">
        <v>0.48</v>
      </c>
      <c r="C70" s="24">
        <f t="shared" si="3"/>
        <v>0.47001599999999999</v>
      </c>
      <c r="D70" s="24">
        <f t="shared" si="1"/>
        <v>1.4962000000000031E-2</v>
      </c>
      <c r="E70" s="296">
        <f t="shared" si="2"/>
        <v>0.48666350392324398</v>
      </c>
    </row>
    <row r="71" spans="2:5" x14ac:dyDescent="0.2">
      <c r="B71" s="295">
        <v>0.49</v>
      </c>
      <c r="C71" s="25">
        <f t="shared" si="3"/>
        <v>0.48500199999999999</v>
      </c>
      <c r="D71" s="25">
        <f t="shared" si="1"/>
        <v>1.4985999999999999E-2</v>
      </c>
      <c r="E71" s="296">
        <f t="shared" si="2"/>
        <v>0.4933329382013551</v>
      </c>
    </row>
    <row r="72" spans="2:5" x14ac:dyDescent="0.2">
      <c r="B72" s="53">
        <v>0.5</v>
      </c>
      <c r="C72" s="24">
        <f t="shared" si="3"/>
        <v>0.5</v>
      </c>
      <c r="D72" s="24">
        <f t="shared" si="1"/>
        <v>1.4998000000000011E-2</v>
      </c>
      <c r="E72" s="296">
        <f t="shared" si="2"/>
        <v>0.5</v>
      </c>
    </row>
    <row r="73" spans="2:5" x14ac:dyDescent="0.2">
      <c r="B73" s="295">
        <v>0.51</v>
      </c>
      <c r="C73" s="25">
        <f t="shared" si="3"/>
        <v>0.51499800000000007</v>
      </c>
      <c r="D73" s="25">
        <f t="shared" si="1"/>
        <v>1.4998000000000067E-2</v>
      </c>
      <c r="E73" s="296">
        <f t="shared" si="2"/>
        <v>0.50666706179864485</v>
      </c>
    </row>
    <row r="74" spans="2:5" x14ac:dyDescent="0.2">
      <c r="B74" s="53">
        <v>0.52</v>
      </c>
      <c r="C74" s="24">
        <f t="shared" si="3"/>
        <v>0.52998400000000001</v>
      </c>
      <c r="D74" s="24">
        <f t="shared" si="1"/>
        <v>1.4985999999999944E-2</v>
      </c>
      <c r="E74" s="296">
        <f t="shared" si="2"/>
        <v>0.51333649607675602</v>
      </c>
    </row>
    <row r="75" spans="2:5" x14ac:dyDescent="0.2">
      <c r="B75" s="295">
        <v>0.53</v>
      </c>
      <c r="C75" s="25">
        <f t="shared" si="3"/>
        <v>0.54494600000000004</v>
      </c>
      <c r="D75" s="25">
        <f t="shared" si="1"/>
        <v>1.4962000000000031E-2</v>
      </c>
      <c r="E75" s="296">
        <f t="shared" si="2"/>
        <v>0.52001068376983151</v>
      </c>
    </row>
    <row r="76" spans="2:5" x14ac:dyDescent="0.2">
      <c r="B76" s="53">
        <v>0.54</v>
      </c>
      <c r="C76" s="24">
        <f t="shared" si="3"/>
        <v>0.55987200000000004</v>
      </c>
      <c r="D76" s="24">
        <f t="shared" si="1"/>
        <v>1.4925999999999995E-2</v>
      </c>
      <c r="E76" s="296">
        <f t="shared" si="2"/>
        <v>0.52669202281002647</v>
      </c>
    </row>
    <row r="77" spans="2:5" x14ac:dyDescent="0.2">
      <c r="B77" s="295">
        <v>0.55000000000000004</v>
      </c>
      <c r="C77" s="25">
        <f t="shared" si="3"/>
        <v>0.57475000000000009</v>
      </c>
      <c r="D77" s="25">
        <f t="shared" si="1"/>
        <v>1.4878000000000058E-2</v>
      </c>
      <c r="E77" s="296">
        <f t="shared" si="2"/>
        <v>0.53338293683763227</v>
      </c>
    </row>
    <row r="78" spans="2:5" x14ac:dyDescent="0.2">
      <c r="B78" s="53">
        <v>0.56000000000000005</v>
      </c>
      <c r="C78" s="24">
        <f t="shared" si="3"/>
        <v>0.58956800000000009</v>
      </c>
      <c r="D78" s="24">
        <f t="shared" si="1"/>
        <v>1.4817999999999998E-2</v>
      </c>
      <c r="E78" s="296">
        <f t="shared" si="2"/>
        <v>0.54008588417306003</v>
      </c>
    </row>
    <row r="79" spans="2:5" x14ac:dyDescent="0.2">
      <c r="B79" s="295">
        <v>0.56999999999999995</v>
      </c>
      <c r="C79" s="25">
        <f t="shared" si="3"/>
        <v>0.60431399999999991</v>
      </c>
      <c r="D79" s="25">
        <f t="shared" si="1"/>
        <v>1.4745999999999815E-2</v>
      </c>
      <c r="E79" s="296">
        <f t="shared" si="2"/>
        <v>0.54680336714420474</v>
      </c>
    </row>
    <row r="80" spans="2:5" x14ac:dyDescent="0.2">
      <c r="B80" s="53">
        <v>0.57999999999999996</v>
      </c>
      <c r="C80" s="24">
        <f t="shared" si="3"/>
        <v>0.61897599999999997</v>
      </c>
      <c r="D80" s="24">
        <f t="shared" si="1"/>
        <v>1.4662000000000064E-2</v>
      </c>
      <c r="E80" s="296">
        <f t="shared" si="2"/>
        <v>0.55353794187129524</v>
      </c>
    </row>
    <row r="81" spans="2:5" x14ac:dyDescent="0.2">
      <c r="B81" s="295">
        <v>0.59</v>
      </c>
      <c r="C81" s="25">
        <f t="shared" si="3"/>
        <v>0.63354200000000005</v>
      </c>
      <c r="D81" s="25">
        <f t="shared" si="1"/>
        <v>1.4566000000000079E-2</v>
      </c>
      <c r="E81" s="296">
        <f t="shared" si="2"/>
        <v>0.56029222862083006</v>
      </c>
    </row>
    <row r="82" spans="2:5" x14ac:dyDescent="0.2">
      <c r="B82" s="53">
        <v>0.6</v>
      </c>
      <c r="C82" s="24">
        <f t="shared" si="3"/>
        <v>0.64800000000000002</v>
      </c>
      <c r="D82" s="24">
        <f t="shared" si="1"/>
        <v>1.4457999999999971E-2</v>
      </c>
      <c r="E82" s="296">
        <f t="shared" si="2"/>
        <v>0.56706892285226829</v>
      </c>
    </row>
    <row r="83" spans="2:5" x14ac:dyDescent="0.2">
      <c r="B83" s="295">
        <v>0.61</v>
      </c>
      <c r="C83" s="25">
        <f t="shared" si="3"/>
        <v>0.66233799999999998</v>
      </c>
      <c r="D83" s="25">
        <f t="shared" si="1"/>
        <v>1.4337999999999962E-2</v>
      </c>
      <c r="E83" s="296">
        <f t="shared" si="2"/>
        <v>0.57387080709623961</v>
      </c>
    </row>
    <row r="84" spans="2:5" x14ac:dyDescent="0.2">
      <c r="B84" s="53">
        <v>0.62</v>
      </c>
      <c r="C84" s="24">
        <f t="shared" si="3"/>
        <v>0.67654400000000003</v>
      </c>
      <c r="D84" s="24">
        <f t="shared" si="1"/>
        <v>1.4206000000000052E-2</v>
      </c>
      <c r="E84" s="296">
        <f t="shared" si="2"/>
        <v>0.58070076382171343</v>
      </c>
    </row>
    <row r="85" spans="2:5" x14ac:dyDescent="0.2">
      <c r="B85" s="295">
        <v>0.63</v>
      </c>
      <c r="C85" s="25">
        <f t="shared" si="3"/>
        <v>0.69060600000000005</v>
      </c>
      <c r="D85" s="25">
        <f t="shared" si="1"/>
        <v>1.4062000000000019E-2</v>
      </c>
      <c r="E85" s="296">
        <f t="shared" si="2"/>
        <v>0.58756178947252247</v>
      </c>
    </row>
    <row r="86" spans="2:5" x14ac:dyDescent="0.2">
      <c r="B86" s="53">
        <v>0.64</v>
      </c>
      <c r="C86" s="24">
        <f t="shared" ref="C86:C117" si="4">BETADIST(B86,$B$19,$C$19)</f>
        <v>0.70451200000000003</v>
      </c>
      <c r="D86" s="24">
        <f t="shared" si="1"/>
        <v>1.3905999999999974E-2</v>
      </c>
      <c r="E86" s="296">
        <f t="shared" si="2"/>
        <v>0.59445700988181649</v>
      </c>
    </row>
    <row r="87" spans="2:5" x14ac:dyDescent="0.2">
      <c r="B87" s="295">
        <v>0.65</v>
      </c>
      <c r="C87" s="25">
        <f t="shared" si="4"/>
        <v>0.71825000000000006</v>
      </c>
      <c r="D87" s="25">
        <f t="shared" si="1"/>
        <v>1.3738000000000028E-2</v>
      </c>
      <c r="E87" s="296">
        <f t="shared" si="2"/>
        <v>0.60138969730756509</v>
      </c>
    </row>
    <row r="88" spans="2:5" x14ac:dyDescent="0.2">
      <c r="B88" s="53">
        <v>0.66</v>
      </c>
      <c r="C88" s="24">
        <f t="shared" si="4"/>
        <v>0.73180800000000001</v>
      </c>
      <c r="D88" s="24">
        <f t="shared" ref="D88:D122" si="5">C88-C87</f>
        <v>1.3557999999999959E-2</v>
      </c>
      <c r="E88" s="296">
        <f t="shared" ref="E88:E121" si="6">_xlfn.BETA.INV(B88,$B$19,$C$19)</f>
        <v>0.60836328937466111</v>
      </c>
    </row>
    <row r="89" spans="2:5" x14ac:dyDescent="0.2">
      <c r="B89" s="295">
        <v>0.67</v>
      </c>
      <c r="C89" s="25">
        <f t="shared" si="4"/>
        <v>0.74517400000000011</v>
      </c>
      <c r="D89" s="25">
        <f t="shared" si="5"/>
        <v>1.33660000000001E-2</v>
      </c>
      <c r="E89" s="296">
        <f t="shared" si="6"/>
        <v>0.61538141026141824</v>
      </c>
    </row>
    <row r="90" spans="2:5" x14ac:dyDescent="0.2">
      <c r="B90" s="53">
        <v>0.68</v>
      </c>
      <c r="C90" s="24">
        <f t="shared" si="4"/>
        <v>0.75833600000000012</v>
      </c>
      <c r="D90" s="24">
        <f t="shared" si="5"/>
        <v>1.3162000000000007E-2</v>
      </c>
      <c r="E90" s="296">
        <f t="shared" si="6"/>
        <v>0.62244789453281713</v>
      </c>
    </row>
    <row r="91" spans="2:5" x14ac:dyDescent="0.2">
      <c r="B91" s="295">
        <v>0.69</v>
      </c>
      <c r="C91" s="25">
        <f t="shared" si="4"/>
        <v>0.77128199999999991</v>
      </c>
      <c r="D91" s="25">
        <f t="shared" si="5"/>
        <v>1.2945999999999791E-2</v>
      </c>
      <c r="E91" s="296">
        <f t="shared" si="6"/>
        <v>0.62956681410299009</v>
      </c>
    </row>
    <row r="92" spans="2:5" x14ac:dyDescent="0.2">
      <c r="B92" s="53">
        <v>0.7</v>
      </c>
      <c r="C92" s="24">
        <f t="shared" si="4"/>
        <v>0.78400000000000003</v>
      </c>
      <c r="D92" s="24">
        <f t="shared" si="5"/>
        <v>1.2718000000000118E-2</v>
      </c>
      <c r="E92" s="296">
        <f t="shared" si="6"/>
        <v>0.63674250890943229</v>
      </c>
    </row>
    <row r="93" spans="2:5" x14ac:dyDescent="0.2">
      <c r="B93" s="295">
        <v>0.71</v>
      </c>
      <c r="C93" s="25">
        <f t="shared" si="4"/>
        <v>0.79647799999999991</v>
      </c>
      <c r="D93" s="25">
        <f t="shared" si="5"/>
        <v>1.2477999999999878E-2</v>
      </c>
      <c r="E93" s="296">
        <f t="shared" si="6"/>
        <v>0.64397962200692205</v>
      </c>
    </row>
    <row r="94" spans="2:5" x14ac:dyDescent="0.2">
      <c r="B94" s="53">
        <v>0.72</v>
      </c>
      <c r="C94" s="24">
        <f t="shared" si="4"/>
        <v>0.80870399999999998</v>
      </c>
      <c r="D94" s="24">
        <f t="shared" si="5"/>
        <v>1.222600000000007E-2</v>
      </c>
      <c r="E94" s="296">
        <f t="shared" si="6"/>
        <v>0.65128313994766263</v>
      </c>
    </row>
    <row r="95" spans="2:5" x14ac:dyDescent="0.2">
      <c r="B95" s="295">
        <v>0.73</v>
      </c>
      <c r="C95" s="25">
        <f t="shared" si="4"/>
        <v>0.82066600000000001</v>
      </c>
      <c r="D95" s="25">
        <f t="shared" si="5"/>
        <v>1.1962000000000028E-2</v>
      </c>
      <c r="E95" s="296">
        <f t="shared" si="6"/>
        <v>0.6586584395158287</v>
      </c>
    </row>
    <row r="96" spans="2:5" x14ac:dyDescent="0.2">
      <c r="B96" s="53">
        <v>0.74</v>
      </c>
      <c r="C96" s="24">
        <f t="shared" si="4"/>
        <v>0.83235199999999998</v>
      </c>
      <c r="D96" s="24">
        <f t="shared" si="5"/>
        <v>1.1685999999999974E-2</v>
      </c>
      <c r="E96" s="296">
        <f t="shared" si="6"/>
        <v>0.66611134214322498</v>
      </c>
    </row>
    <row r="97" spans="2:5" x14ac:dyDescent="0.2">
      <c r="B97" s="295">
        <v>0.75</v>
      </c>
      <c r="C97" s="25">
        <f t="shared" si="4"/>
        <v>0.84375</v>
      </c>
      <c r="D97" s="25">
        <f t="shared" si="5"/>
        <v>1.1398000000000019E-2</v>
      </c>
      <c r="E97" s="296">
        <f t="shared" si="6"/>
        <v>0.6736481776669303</v>
      </c>
    </row>
    <row r="98" spans="2:5" x14ac:dyDescent="0.2">
      <c r="B98" s="53">
        <v>0.76</v>
      </c>
      <c r="C98" s="24">
        <f t="shared" si="4"/>
        <v>0.85484800000000005</v>
      </c>
      <c r="D98" s="24">
        <f t="shared" si="5"/>
        <v>1.1098000000000052E-2</v>
      </c>
      <c r="E98" s="296">
        <f t="shared" si="6"/>
        <v>0.68127585952563152</v>
      </c>
    </row>
    <row r="99" spans="2:5" x14ac:dyDescent="0.2">
      <c r="B99" s="295">
        <v>0.77</v>
      </c>
      <c r="C99" s="25">
        <f t="shared" si="4"/>
        <v>0.86563400000000001</v>
      </c>
      <c r="D99" s="25">
        <f t="shared" si="5"/>
        <v>1.0785999999999962E-2</v>
      </c>
      <c r="E99" s="296">
        <f t="shared" si="6"/>
        <v>0.68900197406529107</v>
      </c>
    </row>
    <row r="100" spans="2:5" x14ac:dyDescent="0.2">
      <c r="B100" s="53">
        <v>0.78</v>
      </c>
      <c r="C100" s="24">
        <f t="shared" si="4"/>
        <v>0.87609599999999999</v>
      </c>
      <c r="D100" s="24">
        <f t="shared" si="5"/>
        <v>1.0461999999999971E-2</v>
      </c>
      <c r="E100" s="296">
        <f t="shared" si="6"/>
        <v>0.69683488738857835</v>
      </c>
    </row>
    <row r="101" spans="2:5" x14ac:dyDescent="0.2">
      <c r="B101" s="295">
        <v>0.79</v>
      </c>
      <c r="C101" s="25">
        <f t="shared" si="4"/>
        <v>0.88622200000000007</v>
      </c>
      <c r="D101" s="25">
        <f t="shared" si="5"/>
        <v>1.0126000000000079E-2</v>
      </c>
      <c r="E101" s="296">
        <f t="shared" si="6"/>
        <v>0.70478387421048083</v>
      </c>
    </row>
    <row r="102" spans="2:5" x14ac:dyDescent="0.2">
      <c r="B102" s="53">
        <v>0.8</v>
      </c>
      <c r="C102" s="24">
        <f t="shared" si="4"/>
        <v>0.89600000000000002</v>
      </c>
      <c r="D102" s="24">
        <f t="shared" si="5"/>
        <v>9.7779999999999534E-3</v>
      </c>
      <c r="E102" s="296">
        <f t="shared" si="6"/>
        <v>0.71285927458325959</v>
      </c>
    </row>
    <row r="103" spans="2:5" x14ac:dyDescent="0.2">
      <c r="B103" s="295">
        <v>0.81</v>
      </c>
      <c r="C103" s="25">
        <f t="shared" si="4"/>
        <v>0.90541800000000006</v>
      </c>
      <c r="D103" s="25">
        <f t="shared" si="5"/>
        <v>9.4180000000000375E-3</v>
      </c>
      <c r="E103" s="296">
        <f t="shared" si="6"/>
        <v>0.72107268628830856</v>
      </c>
    </row>
    <row r="104" spans="2:5" x14ac:dyDescent="0.2">
      <c r="B104" s="53">
        <v>0.82</v>
      </c>
      <c r="C104" s="24">
        <f t="shared" si="4"/>
        <v>0.91446399999999994</v>
      </c>
      <c r="D104" s="24">
        <f t="shared" si="5"/>
        <v>9.0459999999998875E-3</v>
      </c>
      <c r="E104" s="296">
        <f t="shared" si="6"/>
        <v>0.72943720340325746</v>
      </c>
    </row>
    <row r="105" spans="2:5" x14ac:dyDescent="0.2">
      <c r="B105" s="295">
        <v>0.83</v>
      </c>
      <c r="C105" s="25">
        <f t="shared" si="4"/>
        <v>0.92312599999999989</v>
      </c>
      <c r="D105" s="25">
        <f t="shared" si="5"/>
        <v>8.6619999999999475E-3</v>
      </c>
      <c r="E105" s="296">
        <f t="shared" si="6"/>
        <v>0.73796771541295958</v>
      </c>
    </row>
    <row r="106" spans="2:5" x14ac:dyDescent="0.2">
      <c r="B106" s="53">
        <v>0.84</v>
      </c>
      <c r="C106" s="24">
        <f t="shared" si="4"/>
        <v>0.931392</v>
      </c>
      <c r="D106" s="24">
        <f t="shared" si="5"/>
        <v>8.2660000000001066E-3</v>
      </c>
      <c r="E106" s="296">
        <f t="shared" si="6"/>
        <v>0.74668128682845081</v>
      </c>
    </row>
    <row r="107" spans="2:5" x14ac:dyDescent="0.2">
      <c r="B107" s="295">
        <v>0.85</v>
      </c>
      <c r="C107" s="25">
        <f t="shared" si="4"/>
        <v>0.93924999999999992</v>
      </c>
      <c r="D107" s="25">
        <f t="shared" si="5"/>
        <v>7.8579999999999206E-3</v>
      </c>
      <c r="E107" s="296">
        <f t="shared" si="6"/>
        <v>0.75559764554907771</v>
      </c>
    </row>
    <row r="108" spans="2:5" x14ac:dyDescent="0.2">
      <c r="B108" s="53">
        <v>0.86</v>
      </c>
      <c r="C108" s="24">
        <f t="shared" si="4"/>
        <v>0.94668799999999997</v>
      </c>
      <c r="D108" s="24">
        <f t="shared" si="5"/>
        <v>7.4380000000000557E-3</v>
      </c>
      <c r="E108" s="296">
        <f t="shared" si="6"/>
        <v>0.76473982069908897</v>
      </c>
    </row>
    <row r="109" spans="2:5" x14ac:dyDescent="0.2">
      <c r="B109" s="295">
        <v>0.87</v>
      </c>
      <c r="C109" s="25">
        <f t="shared" si="4"/>
        <v>0.95369400000000004</v>
      </c>
      <c r="D109" s="25">
        <f t="shared" si="5"/>
        <v>7.0060000000000677E-3</v>
      </c>
      <c r="E109" s="296">
        <f t="shared" si="6"/>
        <v>0.77413499001698693</v>
      </c>
    </row>
    <row r="110" spans="2:5" x14ac:dyDescent="0.2">
      <c r="B110" s="53">
        <v>0.88</v>
      </c>
      <c r="C110" s="24">
        <f t="shared" si="4"/>
        <v>0.960256</v>
      </c>
      <c r="D110" s="24">
        <f t="shared" si="5"/>
        <v>6.5619999999999568E-3</v>
      </c>
      <c r="E110" s="296">
        <f t="shared" si="6"/>
        <v>0.78381562766893009</v>
      </c>
    </row>
    <row r="111" spans="2:5" x14ac:dyDescent="0.2">
      <c r="B111" s="295">
        <v>0.89</v>
      </c>
      <c r="C111" s="25">
        <f t="shared" si="4"/>
        <v>0.96636199999999994</v>
      </c>
      <c r="D111" s="25">
        <f t="shared" si="5"/>
        <v>6.1059999999999448E-3</v>
      </c>
      <c r="E111" s="296">
        <f t="shared" si="6"/>
        <v>0.79382109393424627</v>
      </c>
    </row>
    <row r="112" spans="2:5" x14ac:dyDescent="0.2">
      <c r="B112" s="53">
        <v>0.9</v>
      </c>
      <c r="C112" s="24">
        <f t="shared" si="4"/>
        <v>0.97199999999999998</v>
      </c>
      <c r="D112" s="24">
        <f t="shared" si="5"/>
        <v>5.6380000000000319E-3</v>
      </c>
      <c r="E112" s="296">
        <f t="shared" si="6"/>
        <v>0.80419989434090833</v>
      </c>
    </row>
    <row r="113" spans="2:5" x14ac:dyDescent="0.2">
      <c r="B113" s="295">
        <v>0.91</v>
      </c>
      <c r="C113" s="25">
        <f t="shared" si="4"/>
        <v>0.97715799999999997</v>
      </c>
      <c r="D113" s="25">
        <f t="shared" si="5"/>
        <v>5.1579999999999959E-3</v>
      </c>
      <c r="E113" s="296">
        <f t="shared" si="6"/>
        <v>0.81501298880104389</v>
      </c>
    </row>
    <row r="114" spans="2:5" x14ac:dyDescent="0.2">
      <c r="B114" s="53">
        <v>0.92</v>
      </c>
      <c r="C114" s="24">
        <f t="shared" si="4"/>
        <v>0.98182400000000003</v>
      </c>
      <c r="D114" s="24">
        <f t="shared" si="5"/>
        <v>4.666000000000059E-3</v>
      </c>
      <c r="E114" s="296">
        <f t="shared" si="6"/>
        <v>0.8263388167835064</v>
      </c>
    </row>
    <row r="115" spans="2:5" x14ac:dyDescent="0.2">
      <c r="B115" s="295">
        <v>0.93</v>
      </c>
      <c r="C115" s="25">
        <f t="shared" si="4"/>
        <v>0.98598600000000003</v>
      </c>
      <c r="D115" s="25">
        <f t="shared" si="5"/>
        <v>4.161999999999999E-3</v>
      </c>
      <c r="E115" s="296">
        <f t="shared" si="6"/>
        <v>0.83828126993185192</v>
      </c>
    </row>
    <row r="116" spans="2:5" x14ac:dyDescent="0.2">
      <c r="B116" s="53">
        <v>0.94</v>
      </c>
      <c r="C116" s="24">
        <f t="shared" si="4"/>
        <v>0.98963199999999996</v>
      </c>
      <c r="D116" s="24">
        <f t="shared" si="5"/>
        <v>3.6459999999999271E-3</v>
      </c>
      <c r="E116" s="296">
        <f t="shared" si="6"/>
        <v>0.85098304745467368</v>
      </c>
    </row>
    <row r="117" spans="2:5" x14ac:dyDescent="0.2">
      <c r="B117" s="295">
        <v>0.95</v>
      </c>
      <c r="C117" s="25">
        <f t="shared" si="4"/>
        <v>0.99275000000000002</v>
      </c>
      <c r="D117" s="25">
        <f t="shared" si="5"/>
        <v>3.1180000000000652E-3</v>
      </c>
      <c r="E117" s="296">
        <f t="shared" si="6"/>
        <v>0.86464963782841608</v>
      </c>
    </row>
    <row r="118" spans="2:5" x14ac:dyDescent="0.2">
      <c r="B118" s="53">
        <v>0.96</v>
      </c>
      <c r="C118" s="24">
        <f>BETADIST(B118,$B$19,$C$19)</f>
        <v>0.99532799999999999</v>
      </c>
      <c r="D118" s="24">
        <f t="shared" si="5"/>
        <v>2.5779999999999692E-3</v>
      </c>
      <c r="E118" s="296">
        <f t="shared" si="6"/>
        <v>0.8795965451350104</v>
      </c>
    </row>
    <row r="119" spans="2:5" x14ac:dyDescent="0.2">
      <c r="B119" s="295">
        <v>0.97</v>
      </c>
      <c r="C119" s="25">
        <f>BETADIST(B119,$B$19,$C$19)</f>
        <v>0.99735400000000007</v>
      </c>
      <c r="D119" s="25">
        <f t="shared" si="5"/>
        <v>2.0260000000000833E-3</v>
      </c>
      <c r="E119" s="296">
        <f t="shared" si="6"/>
        <v>0.89635516075048716</v>
      </c>
    </row>
    <row r="120" spans="2:5" x14ac:dyDescent="0.2">
      <c r="B120" s="53">
        <v>0.98</v>
      </c>
      <c r="C120" s="24">
        <f>BETADIST(B120,$B$19,$C$19)</f>
        <v>0.99881599999999993</v>
      </c>
      <c r="D120" s="24">
        <f t="shared" si="5"/>
        <v>1.4619999999998523E-3</v>
      </c>
      <c r="E120" s="296">
        <f t="shared" si="6"/>
        <v>0.91596230060675832</v>
      </c>
    </row>
    <row r="121" spans="2:5" x14ac:dyDescent="0.2">
      <c r="B121" s="295">
        <v>0.99</v>
      </c>
      <c r="C121" s="25">
        <f>BETADIST(B121,$B$19,$C$19)</f>
        <v>0.99970199999999998</v>
      </c>
      <c r="D121" s="25">
        <f t="shared" si="5"/>
        <v>8.8600000000005341E-4</v>
      </c>
      <c r="E121" s="296">
        <f t="shared" si="6"/>
        <v>0.94109686422180472</v>
      </c>
    </row>
    <row r="122" spans="2:5" ht="13.5" thickBot="1" x14ac:dyDescent="0.25">
      <c r="B122" s="297">
        <v>1</v>
      </c>
      <c r="C122" s="301">
        <f>BETADIST(B122,$B$19,$C$19)</f>
        <v>1</v>
      </c>
      <c r="D122" s="301">
        <f t="shared" si="5"/>
        <v>2.9800000000002047E-4</v>
      </c>
      <c r="E122" s="298"/>
    </row>
  </sheetData>
  <mergeCells count="14">
    <mergeCell ref="B17:C17"/>
    <mergeCell ref="E1:M1"/>
    <mergeCell ref="E2:M2"/>
    <mergeCell ref="E3:M3"/>
    <mergeCell ref="G17:I20"/>
    <mergeCell ref="D5:M5"/>
    <mergeCell ref="E4:M4"/>
    <mergeCell ref="E8:F8"/>
    <mergeCell ref="E9:F9"/>
    <mergeCell ref="E10:F10"/>
    <mergeCell ref="E11:F11"/>
    <mergeCell ref="E12:F12"/>
    <mergeCell ref="E13:F13"/>
    <mergeCell ref="E14:F14"/>
  </mergeCells>
  <phoneticPr fontId="5" type="noConversion"/>
  <pageMargins left="0.78740157499999996" right="0.78740157499999996" top="0.984251969" bottom="0.984251969" header="0.4921259845" footer="0.4921259845"/>
  <headerFooter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opLeftCell="B1" workbookViewId="0">
      <selection activeCell="E32" sqref="E32"/>
    </sheetView>
  </sheetViews>
  <sheetFormatPr baseColWidth="10" defaultRowHeight="12.75" x14ac:dyDescent="0.2"/>
  <cols>
    <col min="1" max="1" width="3.28515625" customWidth="1"/>
    <col min="2" max="2" width="28.42578125" customWidth="1"/>
    <col min="3" max="3" width="18.5703125" customWidth="1"/>
    <col min="4" max="4" width="15.28515625" customWidth="1"/>
    <col min="5" max="5" width="15.85546875" customWidth="1"/>
    <col min="6" max="6" width="15.140625" customWidth="1"/>
    <col min="7" max="7" width="15" customWidth="1"/>
    <col min="8" max="8" width="14.28515625" customWidth="1"/>
  </cols>
  <sheetData>
    <row r="1" spans="1:10" ht="18" customHeight="1" x14ac:dyDescent="0.2">
      <c r="B1" s="62" t="s">
        <v>8</v>
      </c>
      <c r="C1" s="439"/>
      <c r="D1" s="440" t="s">
        <v>431</v>
      </c>
      <c r="E1" s="441"/>
      <c r="F1" s="441"/>
      <c r="G1" s="441"/>
      <c r="H1" s="441"/>
    </row>
    <row r="2" spans="1:10" ht="18" customHeight="1" x14ac:dyDescent="0.2">
      <c r="B2" s="62" t="s">
        <v>16</v>
      </c>
      <c r="C2" s="439"/>
      <c r="D2" s="440" t="s">
        <v>432</v>
      </c>
      <c r="E2" s="441"/>
      <c r="F2" s="441"/>
      <c r="G2" s="441"/>
      <c r="H2" s="441"/>
    </row>
    <row r="3" spans="1:10" ht="18" customHeight="1" x14ac:dyDescent="0.2">
      <c r="B3" s="62" t="s">
        <v>17</v>
      </c>
      <c r="C3" s="439"/>
      <c r="D3" s="62" t="s">
        <v>18</v>
      </c>
      <c r="E3" s="441"/>
      <c r="F3" s="441"/>
      <c r="G3" s="441"/>
      <c r="H3" s="441"/>
    </row>
    <row r="4" spans="1:10" ht="18" customHeight="1" x14ac:dyDescent="0.2">
      <c r="B4" s="62" t="s">
        <v>19</v>
      </c>
      <c r="C4" s="439"/>
      <c r="D4" s="650" t="s">
        <v>433</v>
      </c>
      <c r="E4" s="651"/>
      <c r="F4" s="651"/>
      <c r="G4" s="651"/>
      <c r="H4" s="651"/>
    </row>
    <row r="5" spans="1:10" ht="69" customHeight="1" x14ac:dyDescent="0.2">
      <c r="B5" s="13" t="s">
        <v>20</v>
      </c>
      <c r="C5" s="611" t="s">
        <v>434</v>
      </c>
      <c r="D5" s="600"/>
      <c r="E5" s="600"/>
      <c r="F5" s="600"/>
      <c r="G5" s="600"/>
      <c r="H5" s="600"/>
    </row>
    <row r="7" spans="1:10" x14ac:dyDescent="0.2">
      <c r="B7" s="38" t="s">
        <v>213</v>
      </c>
    </row>
    <row r="9" spans="1:10" x14ac:dyDescent="0.2">
      <c r="A9" s="17"/>
      <c r="B9" s="448" t="s">
        <v>212</v>
      </c>
      <c r="C9" s="191" t="s">
        <v>211</v>
      </c>
      <c r="E9" s="38" t="s">
        <v>4</v>
      </c>
    </row>
    <row r="10" spans="1:10" x14ac:dyDescent="0.2">
      <c r="A10" s="17"/>
      <c r="B10" s="24" t="s">
        <v>214</v>
      </c>
      <c r="C10" s="32">
        <v>8</v>
      </c>
      <c r="E10" t="s">
        <v>241</v>
      </c>
    </row>
    <row r="11" spans="1:10" x14ac:dyDescent="0.2">
      <c r="A11" s="17"/>
      <c r="B11" s="25" t="s">
        <v>215</v>
      </c>
      <c r="C11" s="33">
        <v>9</v>
      </c>
      <c r="E11" t="s">
        <v>249</v>
      </c>
    </row>
    <row r="12" spans="1:10" x14ac:dyDescent="0.2">
      <c r="A12" s="17"/>
      <c r="B12" s="24" t="s">
        <v>216</v>
      </c>
      <c r="C12" s="32">
        <v>10</v>
      </c>
    </row>
    <row r="13" spans="1:10" x14ac:dyDescent="0.2">
      <c r="A13" s="17"/>
      <c r="B13" s="25" t="s">
        <v>217</v>
      </c>
      <c r="C13" s="33">
        <v>20</v>
      </c>
      <c r="E13" s="38" t="s">
        <v>242</v>
      </c>
    </row>
    <row r="14" spans="1:10" x14ac:dyDescent="0.2">
      <c r="A14" s="17"/>
      <c r="B14" s="24" t="s">
        <v>218</v>
      </c>
      <c r="C14" s="32">
        <v>18</v>
      </c>
      <c r="E14" t="s">
        <v>239</v>
      </c>
    </row>
    <row r="15" spans="1:10" x14ac:dyDescent="0.2">
      <c r="A15" s="17"/>
      <c r="B15" s="25" t="s">
        <v>219</v>
      </c>
      <c r="C15" s="33">
        <v>22</v>
      </c>
      <c r="J15" s="144"/>
    </row>
    <row r="16" spans="1:10" x14ac:dyDescent="0.2">
      <c r="A16" s="17"/>
      <c r="B16" s="24" t="s">
        <v>220</v>
      </c>
      <c r="C16" s="32">
        <v>34</v>
      </c>
      <c r="D16" s="53"/>
      <c r="E16" s="38" t="s">
        <v>243</v>
      </c>
      <c r="J16" s="144"/>
    </row>
    <row r="17" spans="1:10" x14ac:dyDescent="0.2">
      <c r="A17" s="17"/>
      <c r="B17" s="25" t="s">
        <v>221</v>
      </c>
      <c r="C17" s="33">
        <v>32</v>
      </c>
      <c r="D17" s="53"/>
      <c r="E17" s="38" t="s">
        <v>132</v>
      </c>
      <c r="F17" s="135">
        <v>2</v>
      </c>
      <c r="G17" t="s">
        <v>245</v>
      </c>
      <c r="J17" s="144"/>
    </row>
    <row r="18" spans="1:10" x14ac:dyDescent="0.2">
      <c r="A18" s="17"/>
      <c r="B18" s="24" t="s">
        <v>222</v>
      </c>
      <c r="C18" s="32">
        <v>42</v>
      </c>
      <c r="D18" s="53"/>
      <c r="E18" s="38" t="s">
        <v>240</v>
      </c>
      <c r="F18" s="135">
        <v>3</v>
      </c>
      <c r="G18" t="s">
        <v>244</v>
      </c>
      <c r="J18" s="144"/>
    </row>
    <row r="19" spans="1:10" x14ac:dyDescent="0.2">
      <c r="A19" s="17"/>
      <c r="B19" s="25" t="s">
        <v>223</v>
      </c>
      <c r="C19" s="33">
        <v>37</v>
      </c>
      <c r="D19" s="53"/>
      <c r="E19" s="38" t="s">
        <v>246</v>
      </c>
      <c r="F19" s="135" t="b">
        <v>1</v>
      </c>
      <c r="G19" t="s">
        <v>247</v>
      </c>
      <c r="J19" s="144"/>
    </row>
    <row r="20" spans="1:10" ht="13.5" thickBot="1" x14ac:dyDescent="0.25">
      <c r="A20" s="17"/>
      <c r="B20" s="24" t="s">
        <v>224</v>
      </c>
      <c r="C20" s="32">
        <v>25</v>
      </c>
      <c r="D20" s="53"/>
      <c r="E20" s="22"/>
      <c r="J20" s="144"/>
    </row>
    <row r="21" spans="1:10" ht="13.5" thickBot="1" x14ac:dyDescent="0.25">
      <c r="A21" s="17"/>
      <c r="B21" s="25" t="s">
        <v>225</v>
      </c>
      <c r="C21" s="33">
        <v>20</v>
      </c>
      <c r="E21" s="103" t="s">
        <v>248</v>
      </c>
      <c r="F21" s="22"/>
      <c r="G21" s="22"/>
      <c r="H21" s="22"/>
      <c r="I21" s="22"/>
      <c r="J21" s="144"/>
    </row>
    <row r="22" spans="1:10" x14ac:dyDescent="0.2">
      <c r="A22" s="17"/>
      <c r="B22" s="24" t="s">
        <v>226</v>
      </c>
      <c r="C22" s="32">
        <v>23</v>
      </c>
      <c r="E22" s="451" t="s">
        <v>250</v>
      </c>
      <c r="F22" s="449">
        <v>2</v>
      </c>
      <c r="G22" s="449">
        <v>1</v>
      </c>
      <c r="H22" s="449">
        <v>0.5</v>
      </c>
      <c r="I22" s="33">
        <v>0.2</v>
      </c>
      <c r="J22" s="144"/>
    </row>
    <row r="23" spans="1:10" x14ac:dyDescent="0.2">
      <c r="A23" s="17"/>
      <c r="B23" s="25" t="s">
        <v>227</v>
      </c>
      <c r="C23" s="33">
        <v>26</v>
      </c>
      <c r="E23" s="453" t="s">
        <v>240</v>
      </c>
      <c r="F23" s="342">
        <v>3</v>
      </c>
      <c r="G23" s="342">
        <v>3</v>
      </c>
      <c r="H23" s="342">
        <v>3</v>
      </c>
      <c r="I23" s="32">
        <v>3</v>
      </c>
      <c r="J23" s="144"/>
    </row>
    <row r="24" spans="1:10" ht="13.5" thickBot="1" x14ac:dyDescent="0.25">
      <c r="A24" s="17"/>
      <c r="B24" s="24" t="s">
        <v>228</v>
      </c>
      <c r="C24" s="32">
        <v>31</v>
      </c>
      <c r="E24" s="452" t="s">
        <v>246</v>
      </c>
      <c r="F24" s="149" t="b">
        <v>1</v>
      </c>
      <c r="G24" s="149" t="b">
        <v>1</v>
      </c>
      <c r="H24" s="149" t="b">
        <v>1</v>
      </c>
      <c r="I24" s="450" t="b">
        <v>1</v>
      </c>
      <c r="J24" s="144"/>
    </row>
    <row r="25" spans="1:10" ht="13.5" thickBot="1" x14ac:dyDescent="0.25">
      <c r="A25" s="17"/>
      <c r="B25" s="25" t="s">
        <v>229</v>
      </c>
      <c r="C25" s="33">
        <v>21</v>
      </c>
      <c r="E25" s="103" t="s">
        <v>431</v>
      </c>
      <c r="F25" s="454">
        <f>_xlfn.EXPON.DIST(F22,F23,F24)</f>
        <v>0.99752124782333362</v>
      </c>
      <c r="G25" s="454">
        <f>_xlfn.EXPON.DIST(G22,G23,G24)</f>
        <v>0.95021293163213605</v>
      </c>
      <c r="H25" s="454">
        <f>_xlfn.EXPON.DIST(H22,H23,H24)</f>
        <v>0.77686983985157021</v>
      </c>
      <c r="I25" s="454">
        <f>_xlfn.EXPON.DIST(I22,I23,I24)</f>
        <v>0.45118836390597356</v>
      </c>
      <c r="J25" s="144"/>
    </row>
    <row r="26" spans="1:10" x14ac:dyDescent="0.2">
      <c r="A26" s="17"/>
      <c r="B26" s="24" t="s">
        <v>230</v>
      </c>
      <c r="C26" s="32">
        <v>28</v>
      </c>
      <c r="F26" s="129" t="s">
        <v>435</v>
      </c>
      <c r="J26" s="144"/>
    </row>
    <row r="27" spans="1:10" x14ac:dyDescent="0.2">
      <c r="A27" s="17"/>
      <c r="B27" s="25" t="s">
        <v>231</v>
      </c>
      <c r="C27" s="33">
        <v>20</v>
      </c>
    </row>
    <row r="28" spans="1:10" x14ac:dyDescent="0.2">
      <c r="A28" s="17"/>
      <c r="B28" s="24" t="s">
        <v>232</v>
      </c>
      <c r="C28" s="32">
        <v>21</v>
      </c>
    </row>
    <row r="29" spans="1:10" x14ac:dyDescent="0.2">
      <c r="A29" s="17"/>
      <c r="B29" s="25" t="s">
        <v>233</v>
      </c>
      <c r="C29" s="33">
        <v>38</v>
      </c>
    </row>
    <row r="30" spans="1:10" x14ac:dyDescent="0.2">
      <c r="A30" s="17"/>
      <c r="B30" s="24" t="s">
        <v>234</v>
      </c>
      <c r="C30" s="32">
        <v>13</v>
      </c>
    </row>
    <row r="31" spans="1:10" x14ac:dyDescent="0.2">
      <c r="A31" s="17"/>
      <c r="B31" s="25" t="s">
        <v>235</v>
      </c>
      <c r="C31" s="33">
        <v>2</v>
      </c>
    </row>
    <row r="32" spans="1:10" x14ac:dyDescent="0.2">
      <c r="A32" s="17"/>
      <c r="B32" s="24" t="s">
        <v>236</v>
      </c>
      <c r="C32" s="32">
        <v>4</v>
      </c>
    </row>
    <row r="33" spans="1:10" x14ac:dyDescent="0.2">
      <c r="A33" s="17"/>
      <c r="B33" s="25" t="s">
        <v>237</v>
      </c>
      <c r="C33" s="33">
        <v>1</v>
      </c>
    </row>
    <row r="34" spans="1:10" x14ac:dyDescent="0.2">
      <c r="A34" s="17"/>
      <c r="B34" s="457" t="s">
        <v>238</v>
      </c>
      <c r="C34" s="458">
        <f>SUM(C10:C33)</f>
        <v>505</v>
      </c>
    </row>
    <row r="35" spans="1:10" ht="15.75" thickBot="1" x14ac:dyDescent="0.3">
      <c r="A35" s="17"/>
      <c r="B35" s="455" t="s">
        <v>6</v>
      </c>
      <c r="C35" s="456">
        <f>AVERAGE(C10:C33)</f>
        <v>21.041666666666668</v>
      </c>
    </row>
    <row r="37" spans="1:10" x14ac:dyDescent="0.2">
      <c r="J37" s="144"/>
    </row>
    <row r="38" spans="1:10" x14ac:dyDescent="0.2">
      <c r="G38" s="144"/>
      <c r="H38" s="144"/>
      <c r="I38" s="144"/>
      <c r="J38" s="144"/>
    </row>
    <row r="39" spans="1:10" x14ac:dyDescent="0.2">
      <c r="G39" s="144"/>
      <c r="H39" s="144"/>
      <c r="I39" s="144"/>
      <c r="J39" s="144"/>
    </row>
    <row r="40" spans="1:10" x14ac:dyDescent="0.2">
      <c r="G40" s="144"/>
      <c r="H40" s="144"/>
      <c r="I40" s="144"/>
      <c r="J40" s="144"/>
    </row>
  </sheetData>
  <mergeCells count="2">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topLeftCell="B1" workbookViewId="0">
      <selection activeCell="G7" sqref="G7"/>
    </sheetView>
  </sheetViews>
  <sheetFormatPr baseColWidth="10" defaultRowHeight="12.75" x14ac:dyDescent="0.2"/>
  <cols>
    <col min="1" max="1" width="3.42578125" customWidth="1"/>
    <col min="2" max="2" width="16.5703125" customWidth="1"/>
    <col min="3" max="18" width="8.7109375" customWidth="1"/>
  </cols>
  <sheetData>
    <row r="1" spans="1:18" ht="15.75" x14ac:dyDescent="0.25">
      <c r="B1" s="260" t="s">
        <v>116</v>
      </c>
      <c r="C1" s="260"/>
      <c r="D1" s="260"/>
    </row>
    <row r="3" spans="1:18" ht="13.5" thickBot="1" x14ac:dyDescent="0.25">
      <c r="B3" s="22"/>
      <c r="C3" s="22"/>
      <c r="D3" s="22"/>
      <c r="E3" s="22"/>
      <c r="F3" s="22"/>
    </row>
    <row r="4" spans="1:18" x14ac:dyDescent="0.2">
      <c r="A4" s="17"/>
      <c r="B4" s="156" t="s">
        <v>88</v>
      </c>
      <c r="C4" s="154"/>
      <c r="D4" s="1"/>
      <c r="E4" s="154"/>
      <c r="F4" s="164">
        <v>0.05</v>
      </c>
      <c r="G4" s="144"/>
    </row>
    <row r="5" spans="1:18" x14ac:dyDescent="0.2">
      <c r="A5" s="17"/>
      <c r="B5" s="158" t="s">
        <v>89</v>
      </c>
      <c r="C5" s="157"/>
      <c r="D5" s="259"/>
      <c r="E5" s="157"/>
      <c r="F5" s="161">
        <v>2</v>
      </c>
      <c r="G5" s="144" t="s">
        <v>440</v>
      </c>
      <c r="H5" s="155"/>
      <c r="K5" s="5"/>
    </row>
    <row r="6" spans="1:18" x14ac:dyDescent="0.2">
      <c r="A6" s="17"/>
      <c r="B6" s="156" t="s">
        <v>90</v>
      </c>
      <c r="C6" s="154"/>
      <c r="D6" s="1"/>
      <c r="E6" s="154"/>
      <c r="F6" s="162">
        <v>12</v>
      </c>
      <c r="G6" s="144" t="s">
        <v>440</v>
      </c>
      <c r="H6" s="155"/>
      <c r="I6" s="144"/>
      <c r="J6" s="144"/>
      <c r="L6" s="144"/>
      <c r="M6" s="144"/>
    </row>
    <row r="7" spans="1:18" ht="21.75" thickBot="1" x14ac:dyDescent="0.4">
      <c r="A7" s="17"/>
      <c r="B7" s="159" t="s">
        <v>91</v>
      </c>
      <c r="C7" s="160"/>
      <c r="D7" s="149"/>
      <c r="E7" s="160"/>
      <c r="F7" s="163">
        <f>FINV(F4,F5,F6)</f>
        <v>3.8852938346523942</v>
      </c>
      <c r="G7" s="144"/>
      <c r="H7" s="155"/>
    </row>
    <row r="8" spans="1:18" ht="13.5" thickBot="1" x14ac:dyDescent="0.25">
      <c r="B8" s="156"/>
      <c r="C8" s="169"/>
      <c r="D8" s="169"/>
      <c r="E8" s="169"/>
      <c r="F8" s="22"/>
      <c r="G8" s="169"/>
      <c r="H8" s="170"/>
      <c r="I8" s="22"/>
      <c r="J8" s="22"/>
      <c r="K8" s="22"/>
      <c r="L8" s="22"/>
      <c r="M8" s="22"/>
      <c r="N8" s="22"/>
      <c r="O8" s="22"/>
      <c r="P8" s="22"/>
      <c r="Q8" s="22"/>
      <c r="R8" s="22"/>
    </row>
    <row r="9" spans="1:18" ht="13.5" thickBot="1" x14ac:dyDescent="0.25">
      <c r="B9" s="167"/>
      <c r="C9" s="652" t="s">
        <v>92</v>
      </c>
      <c r="D9" s="653"/>
      <c r="E9" s="654"/>
      <c r="F9" s="654"/>
      <c r="G9" s="654"/>
      <c r="H9" s="654"/>
      <c r="I9" s="654"/>
      <c r="J9" s="654"/>
      <c r="K9" s="654"/>
      <c r="L9" s="654"/>
      <c r="M9" s="654"/>
      <c r="N9" s="654"/>
      <c r="O9" s="654"/>
      <c r="P9" s="654"/>
      <c r="Q9" s="654"/>
      <c r="R9" s="655"/>
    </row>
    <row r="10" spans="1:18" ht="19.5" customHeight="1" thickBot="1" x14ac:dyDescent="0.25">
      <c r="B10" s="171" t="s">
        <v>93</v>
      </c>
      <c r="C10" s="181">
        <v>1</v>
      </c>
      <c r="D10" s="183">
        <v>2</v>
      </c>
      <c r="E10" s="183">
        <v>3</v>
      </c>
      <c r="F10" s="181">
        <v>4</v>
      </c>
      <c r="G10" s="183">
        <v>5</v>
      </c>
      <c r="H10" s="181">
        <v>6</v>
      </c>
      <c r="I10" s="183">
        <v>7</v>
      </c>
      <c r="J10" s="181">
        <v>8</v>
      </c>
      <c r="K10" s="183">
        <v>9</v>
      </c>
      <c r="L10" s="181">
        <v>10</v>
      </c>
      <c r="M10" s="183">
        <v>11</v>
      </c>
      <c r="N10" s="181">
        <v>12</v>
      </c>
      <c r="O10" s="183">
        <v>15</v>
      </c>
      <c r="P10" s="181">
        <v>20</v>
      </c>
      <c r="Q10" s="183">
        <v>25</v>
      </c>
      <c r="R10" s="182">
        <v>26</v>
      </c>
    </row>
    <row r="11" spans="1:18" x14ac:dyDescent="0.2">
      <c r="B11" s="168">
        <v>1</v>
      </c>
      <c r="C11" s="165">
        <f>FINV($F$4,C10,$B$11)</f>
        <v>161.44763879758855</v>
      </c>
      <c r="D11" s="184">
        <f t="shared" ref="D11:D42" si="0">FINV($F$4,$D$10,B11)</f>
        <v>199.49999999999994</v>
      </c>
      <c r="E11" s="188">
        <f t="shared" ref="E11:E42" si="1">FINV($F$4,$E$10,$B11)</f>
        <v>215.70734536960902</v>
      </c>
      <c r="F11" s="165">
        <f t="shared" ref="F11:F42" si="2">FINV($F$4,$F$10,$B11)</f>
        <v>224.58324062625078</v>
      </c>
      <c r="G11" s="184">
        <f t="shared" ref="G11:G42" si="3">FINV($F$4,$G$10,$B11)</f>
        <v>230.16187811010678</v>
      </c>
      <c r="H11" s="165">
        <f t="shared" ref="H11:H42" si="4">FINV($F$4,$H$10,$B11)</f>
        <v>233.98600035626617</v>
      </c>
      <c r="I11" s="184">
        <f t="shared" ref="I11:I42" si="5">FINV($F$4,$I$10,$B11)</f>
        <v>236.76840027699524</v>
      </c>
      <c r="J11" s="165">
        <f t="shared" ref="J11:J42" si="6">FINV($F$4,$J$10,$B11)</f>
        <v>238.88269480252418</v>
      </c>
      <c r="K11" s="184">
        <f t="shared" ref="K11:K42" si="7">FINV($F$4,$K$10,$B11)</f>
        <v>240.5432547132632</v>
      </c>
      <c r="L11" s="165">
        <f t="shared" ref="L11:L42" si="8">FINV($F$4,$L$10,$B11)</f>
        <v>241.88174725083331</v>
      </c>
      <c r="M11" s="184">
        <f t="shared" ref="M11:M42" si="9">FINV($F$4,$M$10,$B11)</f>
        <v>242.98345819670288</v>
      </c>
      <c r="N11" s="165">
        <f t="shared" ref="N11:N42" si="10">FINV($F$4,$N$10,$B11)</f>
        <v>243.90603848907426</v>
      </c>
      <c r="O11" s="184">
        <f t="shared" ref="O11:O42" si="11">FINV($F$4,$O$10,$B11)</f>
        <v>245.94992620524991</v>
      </c>
      <c r="P11" s="165">
        <f t="shared" ref="P11:P42" si="12">FINV($F$4,$P$10,$B11)</f>
        <v>248.01308208473961</v>
      </c>
      <c r="Q11" s="184">
        <f t="shared" ref="Q11:Q42" si="13">FINV($F$4,$Q$10,$B11)</f>
        <v>249.26007659922246</v>
      </c>
      <c r="R11" s="166">
        <f t="shared" ref="R11:R42" si="14">FINV($F$4,$R$10,$B11)</f>
        <v>249.45252099965268</v>
      </c>
    </row>
    <row r="12" spans="1:18" x14ac:dyDescent="0.2">
      <c r="B12" s="172">
        <v>2</v>
      </c>
      <c r="C12" s="173">
        <f t="shared" ref="C12:C43" si="15">FINV($F$4,$C$10,B12)</f>
        <v>18.512820512820511</v>
      </c>
      <c r="D12" s="185">
        <f t="shared" si="0"/>
        <v>18.999999999999996</v>
      </c>
      <c r="E12" s="185">
        <f t="shared" si="1"/>
        <v>19.164292127511288</v>
      </c>
      <c r="F12" s="173">
        <f t="shared" si="2"/>
        <v>19.246794344808965</v>
      </c>
      <c r="G12" s="185">
        <f t="shared" si="3"/>
        <v>19.296409652017257</v>
      </c>
      <c r="H12" s="173">
        <f t="shared" si="4"/>
        <v>19.329534015154028</v>
      </c>
      <c r="I12" s="185">
        <f t="shared" si="5"/>
        <v>19.353217536092941</v>
      </c>
      <c r="J12" s="173">
        <f t="shared" si="6"/>
        <v>19.370992898066469</v>
      </c>
      <c r="K12" s="185">
        <f t="shared" si="7"/>
        <v>19.384825718171481</v>
      </c>
      <c r="L12" s="173">
        <f t="shared" si="8"/>
        <v>19.395896723571752</v>
      </c>
      <c r="M12" s="185">
        <f t="shared" si="9"/>
        <v>19.404957958951055</v>
      </c>
      <c r="N12" s="173">
        <f t="shared" si="10"/>
        <v>19.412511147223483</v>
      </c>
      <c r="O12" s="185">
        <f t="shared" si="11"/>
        <v>19.429135069563547</v>
      </c>
      <c r="P12" s="173">
        <f t="shared" si="12"/>
        <v>19.445768490616928</v>
      </c>
      <c r="Q12" s="185">
        <f t="shared" si="13"/>
        <v>19.455753102639687</v>
      </c>
      <c r="R12" s="174">
        <f t="shared" si="14"/>
        <v>19.45728950030707</v>
      </c>
    </row>
    <row r="13" spans="1:18" x14ac:dyDescent="0.2">
      <c r="B13" s="168">
        <v>3</v>
      </c>
      <c r="C13" s="165">
        <f t="shared" si="15"/>
        <v>10.127964486013932</v>
      </c>
      <c r="D13" s="184">
        <f t="shared" si="0"/>
        <v>9.5520944959211587</v>
      </c>
      <c r="E13" s="184">
        <f t="shared" si="1"/>
        <v>9.2766281531448112</v>
      </c>
      <c r="F13" s="165">
        <f t="shared" si="2"/>
        <v>9.1171822532464244</v>
      </c>
      <c r="G13" s="184">
        <f t="shared" si="3"/>
        <v>9.0134551675225882</v>
      </c>
      <c r="H13" s="165">
        <f t="shared" si="4"/>
        <v>8.9406451207703839</v>
      </c>
      <c r="I13" s="184">
        <f t="shared" si="5"/>
        <v>8.886742955634281</v>
      </c>
      <c r="J13" s="165">
        <f t="shared" si="6"/>
        <v>8.8452384599594023</v>
      </c>
      <c r="K13" s="184">
        <f t="shared" si="7"/>
        <v>8.8122995552064509</v>
      </c>
      <c r="L13" s="165">
        <f t="shared" si="8"/>
        <v>8.7855247105240064</v>
      </c>
      <c r="M13" s="184">
        <f t="shared" si="9"/>
        <v>8.7633328296308193</v>
      </c>
      <c r="N13" s="165">
        <f t="shared" si="10"/>
        <v>8.7446406614652936</v>
      </c>
      <c r="O13" s="184">
        <f t="shared" si="11"/>
        <v>8.7028701348966955</v>
      </c>
      <c r="P13" s="165">
        <f t="shared" si="12"/>
        <v>8.6601898019307022</v>
      </c>
      <c r="Q13" s="184">
        <f t="shared" si="13"/>
        <v>8.6341350158855725</v>
      </c>
      <c r="R13" s="166">
        <f t="shared" si="14"/>
        <v>8.6300964254414385</v>
      </c>
    </row>
    <row r="14" spans="1:18" x14ac:dyDescent="0.2">
      <c r="B14" s="172">
        <v>4</v>
      </c>
      <c r="C14" s="173">
        <f t="shared" si="15"/>
        <v>7.708647422176786</v>
      </c>
      <c r="D14" s="185">
        <f t="shared" si="0"/>
        <v>6.9442719099991574</v>
      </c>
      <c r="E14" s="185">
        <f t="shared" si="1"/>
        <v>6.5913821164255788</v>
      </c>
      <c r="F14" s="173">
        <f t="shared" si="2"/>
        <v>6.38823290869587</v>
      </c>
      <c r="G14" s="185">
        <f t="shared" si="3"/>
        <v>6.2560565021608845</v>
      </c>
      <c r="H14" s="173">
        <f t="shared" si="4"/>
        <v>6.1631322826886326</v>
      </c>
      <c r="I14" s="185">
        <f t="shared" si="5"/>
        <v>6.0942109256988832</v>
      </c>
      <c r="J14" s="173">
        <f t="shared" si="6"/>
        <v>6.041044476119156</v>
      </c>
      <c r="K14" s="185">
        <f t="shared" si="7"/>
        <v>5.9987790312102476</v>
      </c>
      <c r="L14" s="173">
        <f t="shared" si="8"/>
        <v>5.9643705522380337</v>
      </c>
      <c r="M14" s="185">
        <f t="shared" si="9"/>
        <v>5.9358126986032422</v>
      </c>
      <c r="N14" s="173">
        <f t="shared" si="10"/>
        <v>5.9117291091107189</v>
      </c>
      <c r="O14" s="185">
        <f t="shared" si="11"/>
        <v>5.857805360765318</v>
      </c>
      <c r="P14" s="173">
        <f t="shared" si="12"/>
        <v>5.8025418932528234</v>
      </c>
      <c r="Q14" s="185">
        <f t="shared" si="13"/>
        <v>5.7687152631469694</v>
      </c>
      <c r="R14" s="174">
        <f t="shared" si="14"/>
        <v>5.763465502108378</v>
      </c>
    </row>
    <row r="15" spans="1:18" x14ac:dyDescent="0.2">
      <c r="B15" s="168">
        <v>5</v>
      </c>
      <c r="C15" s="165">
        <f t="shared" si="15"/>
        <v>6.607890973703368</v>
      </c>
      <c r="D15" s="184">
        <f t="shared" si="0"/>
        <v>5.786135043349967</v>
      </c>
      <c r="E15" s="184">
        <f t="shared" si="1"/>
        <v>5.4094513180564894</v>
      </c>
      <c r="F15" s="165">
        <f t="shared" si="2"/>
        <v>5.1921677728039226</v>
      </c>
      <c r="G15" s="184">
        <f t="shared" si="3"/>
        <v>5.0503290576326485</v>
      </c>
      <c r="H15" s="165">
        <f t="shared" si="4"/>
        <v>4.9502880686943191</v>
      </c>
      <c r="I15" s="184">
        <f t="shared" si="5"/>
        <v>4.8758716958339994</v>
      </c>
      <c r="J15" s="165">
        <f t="shared" si="6"/>
        <v>4.8183195356568689</v>
      </c>
      <c r="K15" s="184">
        <f t="shared" si="7"/>
        <v>4.7724656131008532</v>
      </c>
      <c r="L15" s="165">
        <f t="shared" si="8"/>
        <v>4.7350630696934211</v>
      </c>
      <c r="M15" s="184">
        <f t="shared" si="9"/>
        <v>4.7039672333055398</v>
      </c>
      <c r="N15" s="165">
        <f t="shared" si="10"/>
        <v>4.6777037917775175</v>
      </c>
      <c r="O15" s="184">
        <f t="shared" si="11"/>
        <v>4.6187591164058333</v>
      </c>
      <c r="P15" s="165">
        <f t="shared" si="12"/>
        <v>4.5581314973965119</v>
      </c>
      <c r="Q15" s="184">
        <f t="shared" si="13"/>
        <v>4.5209024222216039</v>
      </c>
      <c r="R15" s="166">
        <f t="shared" si="14"/>
        <v>4.5151160370123273</v>
      </c>
    </row>
    <row r="16" spans="1:18" x14ac:dyDescent="0.2">
      <c r="B16" s="172">
        <v>6</v>
      </c>
      <c r="C16" s="173">
        <f t="shared" si="15"/>
        <v>5.9873776072737011</v>
      </c>
      <c r="D16" s="185">
        <f t="shared" si="0"/>
        <v>5.1432528497847176</v>
      </c>
      <c r="E16" s="185">
        <f t="shared" si="1"/>
        <v>4.7570626630894131</v>
      </c>
      <c r="F16" s="173">
        <f t="shared" si="2"/>
        <v>4.5336769502752441</v>
      </c>
      <c r="G16" s="185">
        <f t="shared" si="3"/>
        <v>4.3873741874061292</v>
      </c>
      <c r="H16" s="173">
        <f t="shared" si="4"/>
        <v>4.2838657138226397</v>
      </c>
      <c r="I16" s="185">
        <f t="shared" si="5"/>
        <v>4.2066584878692064</v>
      </c>
      <c r="J16" s="173">
        <f t="shared" si="6"/>
        <v>4.1468041622765357</v>
      </c>
      <c r="K16" s="185">
        <f t="shared" si="7"/>
        <v>4.099015541716521</v>
      </c>
      <c r="L16" s="173">
        <f t="shared" si="8"/>
        <v>4.059962794330696</v>
      </c>
      <c r="M16" s="185">
        <f t="shared" si="9"/>
        <v>4.0274420420133641</v>
      </c>
      <c r="N16" s="173">
        <f t="shared" si="10"/>
        <v>3.9999353833188818</v>
      </c>
      <c r="O16" s="185">
        <f t="shared" si="11"/>
        <v>3.9380579883950348</v>
      </c>
      <c r="P16" s="173">
        <f t="shared" si="12"/>
        <v>3.8741885810265111</v>
      </c>
      <c r="Q16" s="185">
        <f t="shared" si="13"/>
        <v>3.8348440049076382</v>
      </c>
      <c r="R16" s="174">
        <f t="shared" si="14"/>
        <v>3.8287197182546464</v>
      </c>
    </row>
    <row r="17" spans="2:18" x14ac:dyDescent="0.2">
      <c r="B17" s="168">
        <v>7</v>
      </c>
      <c r="C17" s="165">
        <f t="shared" si="15"/>
        <v>5.591447851220738</v>
      </c>
      <c r="D17" s="184">
        <f t="shared" si="0"/>
        <v>4.7374141277758826</v>
      </c>
      <c r="E17" s="184">
        <f t="shared" si="1"/>
        <v>4.3468313999078179</v>
      </c>
      <c r="F17" s="165">
        <f t="shared" si="2"/>
        <v>4.1203117268976337</v>
      </c>
      <c r="G17" s="184">
        <f t="shared" si="3"/>
        <v>3.971523150611342</v>
      </c>
      <c r="H17" s="165">
        <f t="shared" si="4"/>
        <v>3.8659688531238445</v>
      </c>
      <c r="I17" s="184">
        <f t="shared" si="5"/>
        <v>3.7870435399280704</v>
      </c>
      <c r="J17" s="165">
        <f t="shared" si="6"/>
        <v>3.7257253171227038</v>
      </c>
      <c r="K17" s="184">
        <f t="shared" si="7"/>
        <v>3.67667469893951</v>
      </c>
      <c r="L17" s="165">
        <f t="shared" si="8"/>
        <v>3.6365231206283464</v>
      </c>
      <c r="M17" s="184">
        <f t="shared" si="9"/>
        <v>3.6030372692005392</v>
      </c>
      <c r="N17" s="165">
        <f t="shared" si="10"/>
        <v>3.5746764466294172</v>
      </c>
      <c r="O17" s="184">
        <f t="shared" si="11"/>
        <v>3.5107401846336752</v>
      </c>
      <c r="P17" s="165">
        <f t="shared" si="12"/>
        <v>3.4445248320753219</v>
      </c>
      <c r="Q17" s="184">
        <f t="shared" si="13"/>
        <v>3.4036105752342287</v>
      </c>
      <c r="R17" s="166">
        <f t="shared" si="14"/>
        <v>3.3972327710611596</v>
      </c>
    </row>
    <row r="18" spans="2:18" x14ac:dyDescent="0.2">
      <c r="B18" s="172">
        <v>8</v>
      </c>
      <c r="C18" s="173">
        <f t="shared" si="15"/>
        <v>5.3176550715787174</v>
      </c>
      <c r="D18" s="185">
        <f t="shared" si="0"/>
        <v>4.4589701075245118</v>
      </c>
      <c r="E18" s="185">
        <f t="shared" si="1"/>
        <v>4.0661805513511613</v>
      </c>
      <c r="F18" s="173">
        <f t="shared" si="2"/>
        <v>3.8378533545558975</v>
      </c>
      <c r="G18" s="185">
        <f t="shared" si="3"/>
        <v>3.6874986663400291</v>
      </c>
      <c r="H18" s="173">
        <f t="shared" si="4"/>
        <v>3.5805803197614603</v>
      </c>
      <c r="I18" s="185">
        <f t="shared" si="5"/>
        <v>3.500463855044941</v>
      </c>
      <c r="J18" s="173">
        <f t="shared" si="6"/>
        <v>3.4381012333731586</v>
      </c>
      <c r="K18" s="185">
        <f t="shared" si="7"/>
        <v>3.3881302347397284</v>
      </c>
      <c r="L18" s="173">
        <f t="shared" si="8"/>
        <v>3.3471631202339767</v>
      </c>
      <c r="M18" s="185">
        <f t="shared" si="9"/>
        <v>3.312950656887375</v>
      </c>
      <c r="N18" s="173">
        <f t="shared" si="10"/>
        <v>3.2839390057264062</v>
      </c>
      <c r="O18" s="185">
        <f t="shared" si="11"/>
        <v>3.2184055133123435</v>
      </c>
      <c r="P18" s="173">
        <f t="shared" si="12"/>
        <v>3.1503237735028558</v>
      </c>
      <c r="Q18" s="185">
        <f t="shared" si="13"/>
        <v>3.1081344806520472</v>
      </c>
      <c r="R18" s="174">
        <f t="shared" si="14"/>
        <v>3.1015488325279579</v>
      </c>
    </row>
    <row r="19" spans="2:18" x14ac:dyDescent="0.2">
      <c r="B19" s="178">
        <v>9</v>
      </c>
      <c r="C19" s="179">
        <f t="shared" si="15"/>
        <v>5.1173550291992269</v>
      </c>
      <c r="D19" s="186">
        <f t="shared" si="0"/>
        <v>4.2564947290937507</v>
      </c>
      <c r="E19" s="186">
        <f t="shared" si="1"/>
        <v>3.8625483576247648</v>
      </c>
      <c r="F19" s="179">
        <f t="shared" si="2"/>
        <v>3.6330885114190816</v>
      </c>
      <c r="G19" s="186">
        <f t="shared" si="3"/>
        <v>3.4816586539015244</v>
      </c>
      <c r="H19" s="179">
        <f t="shared" si="4"/>
        <v>3.373753647039214</v>
      </c>
      <c r="I19" s="186">
        <f t="shared" si="5"/>
        <v>3.2927458389171207</v>
      </c>
      <c r="J19" s="179">
        <f t="shared" si="6"/>
        <v>3.229582612686777</v>
      </c>
      <c r="K19" s="186">
        <f t="shared" si="7"/>
        <v>3.17889310445827</v>
      </c>
      <c r="L19" s="179">
        <f t="shared" si="8"/>
        <v>3.1372801078886967</v>
      </c>
      <c r="M19" s="186">
        <f t="shared" si="9"/>
        <v>3.1024854075283796</v>
      </c>
      <c r="N19" s="179">
        <f t="shared" si="10"/>
        <v>3.072947121878093</v>
      </c>
      <c r="O19" s="186">
        <f t="shared" si="11"/>
        <v>3.006101972368878</v>
      </c>
      <c r="P19" s="179">
        <f t="shared" si="12"/>
        <v>2.9364553921614438</v>
      </c>
      <c r="Q19" s="186">
        <f t="shared" si="13"/>
        <v>2.893178431512665</v>
      </c>
      <c r="R19" s="180">
        <f t="shared" si="14"/>
        <v>2.8864141006629427</v>
      </c>
    </row>
    <row r="20" spans="2:18" x14ac:dyDescent="0.2">
      <c r="B20" s="172">
        <v>10</v>
      </c>
      <c r="C20" s="173">
        <f t="shared" si="15"/>
        <v>4.9646027437307128</v>
      </c>
      <c r="D20" s="185">
        <f t="shared" si="0"/>
        <v>4.1028210151304032</v>
      </c>
      <c r="E20" s="185">
        <f t="shared" si="1"/>
        <v>3.7082648190468448</v>
      </c>
      <c r="F20" s="173">
        <f t="shared" si="2"/>
        <v>3.4780496907652281</v>
      </c>
      <c r="G20" s="185">
        <f t="shared" si="3"/>
        <v>3.325834530413013</v>
      </c>
      <c r="H20" s="173">
        <f t="shared" si="4"/>
        <v>3.217174547398995</v>
      </c>
      <c r="I20" s="185">
        <f t="shared" si="5"/>
        <v>3.1354648046263263</v>
      </c>
      <c r="J20" s="173">
        <f t="shared" si="6"/>
        <v>3.0716583852790391</v>
      </c>
      <c r="K20" s="185">
        <f t="shared" si="7"/>
        <v>3.0203829470213761</v>
      </c>
      <c r="L20" s="173">
        <f t="shared" si="8"/>
        <v>2.9782370160823217</v>
      </c>
      <c r="M20" s="185">
        <f t="shared" si="9"/>
        <v>2.9429572680064897</v>
      </c>
      <c r="N20" s="173">
        <f t="shared" si="10"/>
        <v>2.912976721582639</v>
      </c>
      <c r="O20" s="185">
        <f t="shared" si="11"/>
        <v>2.8450165269958458</v>
      </c>
      <c r="P20" s="173">
        <f t="shared" si="12"/>
        <v>2.7740163983211246</v>
      </c>
      <c r="Q20" s="185">
        <f t="shared" si="13"/>
        <v>2.7297847493698177</v>
      </c>
      <c r="R20" s="174">
        <f t="shared" si="14"/>
        <v>2.7228625340176977</v>
      </c>
    </row>
    <row r="21" spans="2:18" x14ac:dyDescent="0.2">
      <c r="B21" s="168">
        <v>11</v>
      </c>
      <c r="C21" s="165">
        <f t="shared" si="15"/>
        <v>4.8443356749436166</v>
      </c>
      <c r="D21" s="184">
        <f t="shared" si="0"/>
        <v>3.9822979570944854</v>
      </c>
      <c r="E21" s="184">
        <f t="shared" si="1"/>
        <v>3.5874337024204954</v>
      </c>
      <c r="F21" s="165">
        <f t="shared" si="2"/>
        <v>3.3566900211325938</v>
      </c>
      <c r="G21" s="184">
        <f t="shared" si="3"/>
        <v>3.2038742627296211</v>
      </c>
      <c r="H21" s="165">
        <f t="shared" si="4"/>
        <v>3.0946128879091401</v>
      </c>
      <c r="I21" s="184">
        <f t="shared" si="5"/>
        <v>3.012330343043101</v>
      </c>
      <c r="J21" s="165">
        <f t="shared" si="6"/>
        <v>2.947990318638638</v>
      </c>
      <c r="K21" s="184">
        <f t="shared" si="7"/>
        <v>2.8962227612877038</v>
      </c>
      <c r="L21" s="165">
        <f t="shared" si="8"/>
        <v>2.8536248582732573</v>
      </c>
      <c r="M21" s="184">
        <f t="shared" si="9"/>
        <v>2.8179304699530876</v>
      </c>
      <c r="N21" s="165">
        <f t="shared" si="10"/>
        <v>2.7875693256804883</v>
      </c>
      <c r="O21" s="184">
        <f t="shared" si="11"/>
        <v>2.7186396475783905</v>
      </c>
      <c r="P21" s="165">
        <f t="shared" si="12"/>
        <v>2.6464451537303044</v>
      </c>
      <c r="Q21" s="184">
        <f t="shared" si="13"/>
        <v>2.6013603372049641</v>
      </c>
      <c r="R21" s="166">
        <f t="shared" si="14"/>
        <v>2.5942962002814749</v>
      </c>
    </row>
    <row r="22" spans="2:18" x14ac:dyDescent="0.2">
      <c r="B22" s="172">
        <v>12</v>
      </c>
      <c r="C22" s="173">
        <f t="shared" si="15"/>
        <v>4.7472253467225149</v>
      </c>
      <c r="D22" s="185">
        <f t="shared" si="0"/>
        <v>3.8852938346523942</v>
      </c>
      <c r="E22" s="185">
        <f t="shared" si="1"/>
        <v>3.4902948194976045</v>
      </c>
      <c r="F22" s="173">
        <f t="shared" si="2"/>
        <v>3.2591667269012499</v>
      </c>
      <c r="G22" s="185">
        <f t="shared" si="3"/>
        <v>3.1058752390841229</v>
      </c>
      <c r="H22" s="173">
        <f t="shared" si="4"/>
        <v>2.996120377517109</v>
      </c>
      <c r="I22" s="185">
        <f t="shared" si="5"/>
        <v>2.9133581790111962</v>
      </c>
      <c r="J22" s="173">
        <f t="shared" si="6"/>
        <v>2.8485651420676827</v>
      </c>
      <c r="K22" s="185">
        <f t="shared" si="7"/>
        <v>2.7963754894992481</v>
      </c>
      <c r="L22" s="173">
        <f t="shared" si="8"/>
        <v>2.7533867688358531</v>
      </c>
      <c r="M22" s="185">
        <f t="shared" si="9"/>
        <v>2.7173314409728953</v>
      </c>
      <c r="N22" s="173">
        <f t="shared" si="10"/>
        <v>2.6866371124956863</v>
      </c>
      <c r="O22" s="185">
        <f t="shared" si="11"/>
        <v>2.6168512341321111</v>
      </c>
      <c r="P22" s="173">
        <f t="shared" si="12"/>
        <v>2.5435883296529571</v>
      </c>
      <c r="Q22" s="185">
        <f t="shared" si="13"/>
        <v>2.4977317267190213</v>
      </c>
      <c r="R22" s="174">
        <f t="shared" si="14"/>
        <v>2.4905385341279946</v>
      </c>
    </row>
    <row r="23" spans="2:18" x14ac:dyDescent="0.2">
      <c r="B23" s="168">
        <v>13</v>
      </c>
      <c r="C23" s="165">
        <f t="shared" si="15"/>
        <v>4.6671927318268525</v>
      </c>
      <c r="D23" s="184">
        <f t="shared" si="0"/>
        <v>3.8055652529780568</v>
      </c>
      <c r="E23" s="184">
        <f t="shared" si="1"/>
        <v>3.4105336446278485</v>
      </c>
      <c r="F23" s="165">
        <f t="shared" si="2"/>
        <v>3.1791170525401871</v>
      </c>
      <c r="G23" s="184">
        <f t="shared" si="3"/>
        <v>3.0254383000982594</v>
      </c>
      <c r="H23" s="165">
        <f t="shared" si="4"/>
        <v>2.9152692387027517</v>
      </c>
      <c r="I23" s="184">
        <f t="shared" si="5"/>
        <v>2.8320975016349399</v>
      </c>
      <c r="J23" s="165">
        <f t="shared" si="6"/>
        <v>2.766913181917749</v>
      </c>
      <c r="K23" s="184">
        <f t="shared" si="7"/>
        <v>2.7143557890598928</v>
      </c>
      <c r="L23" s="165">
        <f t="shared" si="8"/>
        <v>2.671024228555126</v>
      </c>
      <c r="M23" s="184">
        <f t="shared" si="9"/>
        <v>2.6346504607077601</v>
      </c>
      <c r="N23" s="165">
        <f t="shared" si="10"/>
        <v>2.6036607476283011</v>
      </c>
      <c r="O23" s="184">
        <f t="shared" si="11"/>
        <v>2.5331099831307475</v>
      </c>
      <c r="P23" s="165">
        <f t="shared" si="12"/>
        <v>2.4588817718014639</v>
      </c>
      <c r="Q23" s="184">
        <f t="shared" si="13"/>
        <v>2.4123208333853952</v>
      </c>
      <c r="R23" s="166">
        <f t="shared" si="14"/>
        <v>2.4050093058288682</v>
      </c>
    </row>
    <row r="24" spans="2:18" x14ac:dyDescent="0.2">
      <c r="B24" s="172">
        <v>14</v>
      </c>
      <c r="C24" s="173">
        <f t="shared" si="15"/>
        <v>4.6001099366694227</v>
      </c>
      <c r="D24" s="185">
        <f t="shared" si="0"/>
        <v>3.7388918324407361</v>
      </c>
      <c r="E24" s="185">
        <f t="shared" si="1"/>
        <v>3.3438886781189128</v>
      </c>
      <c r="F24" s="173">
        <f t="shared" si="2"/>
        <v>3.1122498479613889</v>
      </c>
      <c r="G24" s="185">
        <f t="shared" si="3"/>
        <v>2.9582489131221967</v>
      </c>
      <c r="H24" s="173">
        <f t="shared" si="4"/>
        <v>2.8477259959253578</v>
      </c>
      <c r="I24" s="185">
        <f t="shared" si="5"/>
        <v>2.7641992567781792</v>
      </c>
      <c r="J24" s="173">
        <f t="shared" si="6"/>
        <v>2.6986724187093056</v>
      </c>
      <c r="K24" s="185">
        <f t="shared" si="7"/>
        <v>2.645790735233819</v>
      </c>
      <c r="L24" s="173">
        <f t="shared" si="8"/>
        <v>2.6021550510427085</v>
      </c>
      <c r="M24" s="185">
        <f t="shared" si="9"/>
        <v>2.5654974067604943</v>
      </c>
      <c r="N24" s="173">
        <f t="shared" si="10"/>
        <v>2.5342432527485608</v>
      </c>
      <c r="O24" s="185">
        <f t="shared" si="11"/>
        <v>2.4630031048756633</v>
      </c>
      <c r="P24" s="173">
        <f t="shared" si="12"/>
        <v>2.3878960551375843</v>
      </c>
      <c r="Q24" s="185">
        <f t="shared" si="13"/>
        <v>2.3406880171822513</v>
      </c>
      <c r="R24" s="174">
        <f t="shared" si="14"/>
        <v>2.3332672988032495</v>
      </c>
    </row>
    <row r="25" spans="2:18" x14ac:dyDescent="0.2">
      <c r="B25" s="168">
        <v>15</v>
      </c>
      <c r="C25" s="165">
        <f t="shared" si="15"/>
        <v>4.5430771652669701</v>
      </c>
      <c r="D25" s="184">
        <f t="shared" si="0"/>
        <v>3.6823203436732408</v>
      </c>
      <c r="E25" s="184">
        <f t="shared" si="1"/>
        <v>3.2873821046365093</v>
      </c>
      <c r="F25" s="165">
        <f t="shared" si="2"/>
        <v>3.055568275906595</v>
      </c>
      <c r="G25" s="184">
        <f t="shared" si="3"/>
        <v>2.9012945362361564</v>
      </c>
      <c r="H25" s="165">
        <f t="shared" si="4"/>
        <v>2.7904649973675064</v>
      </c>
      <c r="I25" s="184">
        <f t="shared" si="5"/>
        <v>2.7066267822256944</v>
      </c>
      <c r="J25" s="165">
        <f t="shared" si="6"/>
        <v>2.6407968829069026</v>
      </c>
      <c r="K25" s="184">
        <f t="shared" si="7"/>
        <v>2.5876264352275817</v>
      </c>
      <c r="L25" s="165">
        <f t="shared" si="8"/>
        <v>2.5437185496928079</v>
      </c>
      <c r="M25" s="184">
        <f t="shared" si="9"/>
        <v>2.5068057257018572</v>
      </c>
      <c r="N25" s="165">
        <f t="shared" si="10"/>
        <v>2.4753129734757695</v>
      </c>
      <c r="O25" s="184">
        <f t="shared" si="11"/>
        <v>2.4034470714953358</v>
      </c>
      <c r="P25" s="165">
        <f t="shared" si="12"/>
        <v>2.3275350089882942</v>
      </c>
      <c r="Q25" s="184">
        <f t="shared" si="13"/>
        <v>2.2797292800691884</v>
      </c>
      <c r="R25" s="166">
        <f t="shared" si="14"/>
        <v>2.2722073035224266</v>
      </c>
    </row>
    <row r="26" spans="2:18" x14ac:dyDescent="0.2">
      <c r="B26" s="172">
        <v>16</v>
      </c>
      <c r="C26" s="173">
        <f t="shared" si="15"/>
        <v>4.4939984776663584</v>
      </c>
      <c r="D26" s="185">
        <f t="shared" si="0"/>
        <v>3.6337234675916301</v>
      </c>
      <c r="E26" s="185">
        <f t="shared" si="1"/>
        <v>3.2388715174535854</v>
      </c>
      <c r="F26" s="173">
        <f t="shared" si="2"/>
        <v>3.0069172799243447</v>
      </c>
      <c r="G26" s="185">
        <f t="shared" si="3"/>
        <v>2.8524091650819878</v>
      </c>
      <c r="H26" s="173">
        <f t="shared" si="4"/>
        <v>2.7413108283387784</v>
      </c>
      <c r="I26" s="185">
        <f t="shared" si="5"/>
        <v>2.6571966002210874</v>
      </c>
      <c r="J26" s="173">
        <f t="shared" si="6"/>
        <v>2.5910961798744014</v>
      </c>
      <c r="K26" s="185">
        <f t="shared" si="7"/>
        <v>2.5376665388806519</v>
      </c>
      <c r="L26" s="173">
        <f t="shared" si="8"/>
        <v>2.4935132212816078</v>
      </c>
      <c r="M26" s="185">
        <f t="shared" si="9"/>
        <v>2.4563694312747435</v>
      </c>
      <c r="N26" s="173">
        <f t="shared" si="10"/>
        <v>2.4246600016633844</v>
      </c>
      <c r="O26" s="185">
        <f t="shared" si="11"/>
        <v>2.352222762807386</v>
      </c>
      <c r="P26" s="173">
        <f t="shared" si="12"/>
        <v>2.2755695852259965</v>
      </c>
      <c r="Q26" s="185">
        <f t="shared" si="13"/>
        <v>2.2272093732535492</v>
      </c>
      <c r="R26" s="174">
        <f t="shared" si="14"/>
        <v>2.2195931083405949</v>
      </c>
    </row>
    <row r="27" spans="2:18" x14ac:dyDescent="0.2">
      <c r="B27" s="168">
        <v>17</v>
      </c>
      <c r="C27" s="165">
        <f t="shared" si="15"/>
        <v>4.4513217724681331</v>
      </c>
      <c r="D27" s="184">
        <f t="shared" si="0"/>
        <v>3.5915305684750827</v>
      </c>
      <c r="E27" s="184">
        <f t="shared" si="1"/>
        <v>3.1967768409433446</v>
      </c>
      <c r="F27" s="165">
        <f t="shared" si="2"/>
        <v>2.9647081100410797</v>
      </c>
      <c r="G27" s="184">
        <f t="shared" si="3"/>
        <v>2.8099961745295974</v>
      </c>
      <c r="H27" s="165">
        <f t="shared" si="4"/>
        <v>2.6986599016298731</v>
      </c>
      <c r="I27" s="184">
        <f t="shared" si="5"/>
        <v>2.6142990451333183</v>
      </c>
      <c r="J27" s="165">
        <f t="shared" si="6"/>
        <v>2.5479553577698537</v>
      </c>
      <c r="K27" s="184">
        <f t="shared" si="7"/>
        <v>2.4942914945641954</v>
      </c>
      <c r="L27" s="165">
        <f t="shared" si="8"/>
        <v>2.4499155003942468</v>
      </c>
      <c r="M27" s="184">
        <f t="shared" si="9"/>
        <v>2.4125614418201784</v>
      </c>
      <c r="N27" s="165">
        <f t="shared" si="10"/>
        <v>2.3806541615770072</v>
      </c>
      <c r="O27" s="184">
        <f t="shared" si="11"/>
        <v>2.3076926720809765</v>
      </c>
      <c r="P27" s="165">
        <f t="shared" si="12"/>
        <v>2.2303542821753983</v>
      </c>
      <c r="Q27" s="184">
        <f t="shared" si="13"/>
        <v>2.1814777564975509</v>
      </c>
      <c r="R27" s="166">
        <f t="shared" si="14"/>
        <v>2.1737733878454577</v>
      </c>
    </row>
    <row r="28" spans="2:18" x14ac:dyDescent="0.2">
      <c r="B28" s="172">
        <v>18</v>
      </c>
      <c r="C28" s="173">
        <f t="shared" si="15"/>
        <v>4.4138734191705664</v>
      </c>
      <c r="D28" s="185">
        <f t="shared" si="0"/>
        <v>3.5545571456617879</v>
      </c>
      <c r="E28" s="185">
        <f t="shared" si="1"/>
        <v>3.1599075898007243</v>
      </c>
      <c r="F28" s="173">
        <f t="shared" si="2"/>
        <v>2.9277441728071834</v>
      </c>
      <c r="G28" s="185">
        <f t="shared" si="3"/>
        <v>2.77285315299783</v>
      </c>
      <c r="H28" s="173">
        <f t="shared" si="4"/>
        <v>2.6613045229279009</v>
      </c>
      <c r="I28" s="185">
        <f t="shared" si="5"/>
        <v>2.5767217292599147</v>
      </c>
      <c r="J28" s="173">
        <f t="shared" si="6"/>
        <v>2.5101578953835757</v>
      </c>
      <c r="K28" s="185">
        <f t="shared" si="7"/>
        <v>2.4562811491592669</v>
      </c>
      <c r="L28" s="173">
        <f t="shared" si="8"/>
        <v>2.4117020398339202</v>
      </c>
      <c r="M28" s="185">
        <f t="shared" si="9"/>
        <v>2.3741555938589722</v>
      </c>
      <c r="N28" s="173">
        <f t="shared" si="10"/>
        <v>2.3420667980454342</v>
      </c>
      <c r="O28" s="185">
        <f t="shared" si="11"/>
        <v>2.2686221916065192</v>
      </c>
      <c r="P28" s="173">
        <f t="shared" si="12"/>
        <v>2.1906479255678022</v>
      </c>
      <c r="Q28" s="185">
        <f t="shared" si="13"/>
        <v>2.1412890795974371</v>
      </c>
      <c r="R28" s="174">
        <f t="shared" si="14"/>
        <v>2.1335021386745687</v>
      </c>
    </row>
    <row r="29" spans="2:18" x14ac:dyDescent="0.2">
      <c r="B29" s="168">
        <v>19</v>
      </c>
      <c r="C29" s="165">
        <f t="shared" si="15"/>
        <v>4.3807496923317979</v>
      </c>
      <c r="D29" s="184">
        <f t="shared" si="0"/>
        <v>3.521893260578826</v>
      </c>
      <c r="E29" s="184">
        <f t="shared" si="1"/>
        <v>3.1273500051133998</v>
      </c>
      <c r="F29" s="165">
        <f t="shared" si="2"/>
        <v>2.8951073075078422</v>
      </c>
      <c r="G29" s="184">
        <f t="shared" si="3"/>
        <v>2.7400575416853457</v>
      </c>
      <c r="H29" s="165">
        <f t="shared" si="4"/>
        <v>2.628318038338513</v>
      </c>
      <c r="I29" s="184">
        <f t="shared" si="5"/>
        <v>2.5435343014297049</v>
      </c>
      <c r="J29" s="165">
        <f t="shared" si="6"/>
        <v>2.4767701474512962</v>
      </c>
      <c r="K29" s="184">
        <f t="shared" si="7"/>
        <v>2.4226989371239691</v>
      </c>
      <c r="L29" s="165">
        <f t="shared" si="8"/>
        <v>2.3779336872898322</v>
      </c>
      <c r="M29" s="184">
        <f t="shared" si="9"/>
        <v>2.3402104406025011</v>
      </c>
      <c r="N29" s="165">
        <f t="shared" si="10"/>
        <v>2.3079544239310263</v>
      </c>
      <c r="O29" s="184">
        <f t="shared" si="11"/>
        <v>2.2340629220066179</v>
      </c>
      <c r="P29" s="165">
        <f t="shared" si="12"/>
        <v>2.1554966371315096</v>
      </c>
      <c r="Q29" s="184">
        <f t="shared" si="13"/>
        <v>2.1056859488019644</v>
      </c>
      <c r="R29" s="166">
        <f t="shared" si="14"/>
        <v>2.0978214151452304</v>
      </c>
    </row>
    <row r="30" spans="2:18" x14ac:dyDescent="0.2">
      <c r="B30" s="172">
        <v>20</v>
      </c>
      <c r="C30" s="173">
        <f t="shared" si="15"/>
        <v>4.3512435033292896</v>
      </c>
      <c r="D30" s="185">
        <f t="shared" si="0"/>
        <v>3.492828476735633</v>
      </c>
      <c r="E30" s="185">
        <f t="shared" si="1"/>
        <v>3.0983912121407795</v>
      </c>
      <c r="F30" s="173">
        <f t="shared" si="2"/>
        <v>2.8660814020156589</v>
      </c>
      <c r="G30" s="185">
        <f t="shared" si="3"/>
        <v>2.7108898372096917</v>
      </c>
      <c r="H30" s="173">
        <f t="shared" si="4"/>
        <v>2.5989777115642028</v>
      </c>
      <c r="I30" s="185">
        <f t="shared" si="5"/>
        <v>2.5140110629988341</v>
      </c>
      <c r="J30" s="173">
        <f t="shared" si="6"/>
        <v>2.4470637479798238</v>
      </c>
      <c r="K30" s="185">
        <f t="shared" si="7"/>
        <v>2.39281410844228</v>
      </c>
      <c r="L30" s="173">
        <f t="shared" si="8"/>
        <v>2.3478775669983114</v>
      </c>
      <c r="M30" s="185">
        <f t="shared" si="9"/>
        <v>2.3099912103073517</v>
      </c>
      <c r="N30" s="173">
        <f t="shared" si="10"/>
        <v>2.2775805735464223</v>
      </c>
      <c r="O30" s="185">
        <f t="shared" si="11"/>
        <v>2.2032742895611666</v>
      </c>
      <c r="P30" s="173">
        <f t="shared" si="12"/>
        <v>2.1241552129197361</v>
      </c>
      <c r="Q30" s="185">
        <f t="shared" si="13"/>
        <v>2.0739201631931281</v>
      </c>
      <c r="R30" s="174">
        <f t="shared" si="14"/>
        <v>2.0659825440341364</v>
      </c>
    </row>
    <row r="31" spans="2:18" x14ac:dyDescent="0.2">
      <c r="B31" s="178">
        <v>21</v>
      </c>
      <c r="C31" s="179">
        <f t="shared" si="15"/>
        <v>4.3247937431830454</v>
      </c>
      <c r="D31" s="186">
        <f t="shared" si="0"/>
        <v>3.4668001115424172</v>
      </c>
      <c r="E31" s="186">
        <f t="shared" si="1"/>
        <v>3.0724669863968779</v>
      </c>
      <c r="F31" s="179">
        <f t="shared" si="2"/>
        <v>2.8400998074753825</v>
      </c>
      <c r="G31" s="186">
        <f t="shared" si="3"/>
        <v>2.6847807301748476</v>
      </c>
      <c r="H31" s="179">
        <f t="shared" si="4"/>
        <v>2.5727116405095254</v>
      </c>
      <c r="I31" s="186">
        <f t="shared" si="5"/>
        <v>2.487577703722041</v>
      </c>
      <c r="J31" s="179">
        <f t="shared" si="6"/>
        <v>2.4204621973544564</v>
      </c>
      <c r="K31" s="186">
        <f t="shared" si="7"/>
        <v>2.3660481920354548</v>
      </c>
      <c r="L31" s="179">
        <f t="shared" si="8"/>
        <v>2.3209534393074382</v>
      </c>
      <c r="M31" s="186">
        <f t="shared" si="9"/>
        <v>2.2829160778604543</v>
      </c>
      <c r="N31" s="179">
        <f t="shared" si="10"/>
        <v>2.2503619990631631</v>
      </c>
      <c r="O31" s="186">
        <f t="shared" si="11"/>
        <v>2.1756695725717052</v>
      </c>
      <c r="P31" s="179">
        <f t="shared" si="12"/>
        <v>2.096032976558122</v>
      </c>
      <c r="Q31" s="186">
        <f t="shared" si="13"/>
        <v>2.045398464906945</v>
      </c>
      <c r="R31" s="180">
        <f t="shared" si="14"/>
        <v>2.0373918591234546</v>
      </c>
    </row>
    <row r="32" spans="2:18" x14ac:dyDescent="0.2">
      <c r="B32" s="172">
        <v>22</v>
      </c>
      <c r="C32" s="173">
        <f t="shared" si="15"/>
        <v>4.3009495017776587</v>
      </c>
      <c r="D32" s="185">
        <f t="shared" si="0"/>
        <v>3.4433567793667246</v>
      </c>
      <c r="E32" s="185">
        <f t="shared" si="1"/>
        <v>3.0491249886524128</v>
      </c>
      <c r="F32" s="173">
        <f t="shared" si="2"/>
        <v>2.8167083396402548</v>
      </c>
      <c r="G32" s="185">
        <f t="shared" si="3"/>
        <v>2.6612739171180357</v>
      </c>
      <c r="H32" s="173">
        <f t="shared" si="4"/>
        <v>2.5490614138436585</v>
      </c>
      <c r="I32" s="185">
        <f t="shared" si="5"/>
        <v>2.4637738299608096</v>
      </c>
      <c r="J32" s="173">
        <f t="shared" si="6"/>
        <v>2.3965032837639266</v>
      </c>
      <c r="K32" s="185">
        <f t="shared" si="7"/>
        <v>2.341937327665792</v>
      </c>
      <c r="L32" s="173">
        <f t="shared" si="8"/>
        <v>2.2966959569377261</v>
      </c>
      <c r="M32" s="185">
        <f t="shared" si="9"/>
        <v>2.2585183566229916</v>
      </c>
      <c r="N32" s="173">
        <f t="shared" si="10"/>
        <v>2.2258308070834687</v>
      </c>
      <c r="O32" s="185">
        <f t="shared" si="11"/>
        <v>2.150777912196955</v>
      </c>
      <c r="P32" s="173">
        <f t="shared" si="12"/>
        <v>2.0706556612429461</v>
      </c>
      <c r="Q32" s="185">
        <f t="shared" si="13"/>
        <v>2.0196443442288174</v>
      </c>
      <c r="R32" s="174">
        <f t="shared" si="14"/>
        <v>2.0115724945929068</v>
      </c>
    </row>
    <row r="33" spans="2:18" x14ac:dyDescent="0.2">
      <c r="B33" s="168">
        <v>23</v>
      </c>
      <c r="C33" s="165">
        <f t="shared" si="15"/>
        <v>4.2793443091446495</v>
      </c>
      <c r="D33" s="184">
        <f t="shared" si="0"/>
        <v>3.4221322078611793</v>
      </c>
      <c r="E33" s="184">
        <f t="shared" si="1"/>
        <v>3.0279983823321985</v>
      </c>
      <c r="F33" s="165">
        <f t="shared" si="2"/>
        <v>2.7955387373613885</v>
      </c>
      <c r="G33" s="184">
        <f t="shared" si="3"/>
        <v>2.6399994260529942</v>
      </c>
      <c r="H33" s="165">
        <f t="shared" si="4"/>
        <v>2.5276553252421778</v>
      </c>
      <c r="I33" s="184">
        <f t="shared" si="5"/>
        <v>2.442226085684859</v>
      </c>
      <c r="J33" s="165">
        <f t="shared" si="6"/>
        <v>2.3748121258206289</v>
      </c>
      <c r="K33" s="184">
        <f t="shared" si="7"/>
        <v>2.3201052423166302</v>
      </c>
      <c r="L33" s="165">
        <f t="shared" si="8"/>
        <v>2.2747275850332507</v>
      </c>
      <c r="M33" s="184">
        <f t="shared" si="9"/>
        <v>2.2364193702652937</v>
      </c>
      <c r="N33" s="165">
        <f t="shared" si="10"/>
        <v>2.2036072889298093</v>
      </c>
      <c r="O33" s="184">
        <f t="shared" si="11"/>
        <v>2.1282170476745299</v>
      </c>
      <c r="P33" s="165">
        <f t="shared" si="12"/>
        <v>2.0476380468629714</v>
      </c>
      <c r="Q33" s="184">
        <f t="shared" si="13"/>
        <v>1.9962706179379219</v>
      </c>
      <c r="R33" s="166">
        <f t="shared" si="14"/>
        <v>1.9881369544127763</v>
      </c>
    </row>
    <row r="34" spans="2:18" x14ac:dyDescent="0.2">
      <c r="B34" s="172">
        <v>24</v>
      </c>
      <c r="C34" s="173">
        <f t="shared" si="15"/>
        <v>4.2596772726902348</v>
      </c>
      <c r="D34" s="185">
        <f t="shared" si="0"/>
        <v>3.4028261053501945</v>
      </c>
      <c r="E34" s="185">
        <f t="shared" si="1"/>
        <v>3.0087865704473615</v>
      </c>
      <c r="F34" s="173">
        <f t="shared" si="2"/>
        <v>2.7762892892514786</v>
      </c>
      <c r="G34" s="185">
        <f t="shared" si="3"/>
        <v>2.6206541478628855</v>
      </c>
      <c r="H34" s="173">
        <f t="shared" si="4"/>
        <v>2.5081888234232559</v>
      </c>
      <c r="I34" s="185">
        <f t="shared" si="5"/>
        <v>2.4226285334209159</v>
      </c>
      <c r="J34" s="173">
        <f t="shared" si="6"/>
        <v>2.3550814948462078</v>
      </c>
      <c r="K34" s="185">
        <f t="shared" si="7"/>
        <v>2.3002435225148403</v>
      </c>
      <c r="L34" s="173">
        <f t="shared" si="8"/>
        <v>2.2547388307326033</v>
      </c>
      <c r="M34" s="185">
        <f t="shared" si="9"/>
        <v>2.2163086455581746</v>
      </c>
      <c r="N34" s="173">
        <f t="shared" si="10"/>
        <v>2.1833800816129392</v>
      </c>
      <c r="O34" s="185">
        <f t="shared" si="11"/>
        <v>2.1076734040321199</v>
      </c>
      <c r="P34" s="173">
        <f t="shared" si="12"/>
        <v>2.0266639715539498</v>
      </c>
      <c r="Q34" s="185">
        <f t="shared" si="13"/>
        <v>1.9749593950288635</v>
      </c>
      <c r="R34" s="174">
        <f t="shared" si="14"/>
        <v>1.9667670710777745</v>
      </c>
    </row>
    <row r="35" spans="2:18" x14ac:dyDescent="0.2">
      <c r="B35" s="168">
        <v>25</v>
      </c>
      <c r="C35" s="165">
        <f t="shared" si="15"/>
        <v>4.2416990502771483</v>
      </c>
      <c r="D35" s="184">
        <f t="shared" si="0"/>
        <v>3.3851899614491709</v>
      </c>
      <c r="E35" s="184">
        <f t="shared" si="1"/>
        <v>2.9912409095499513</v>
      </c>
      <c r="F35" s="165">
        <f t="shared" si="2"/>
        <v>2.7587104697176335</v>
      </c>
      <c r="G35" s="184">
        <f t="shared" si="3"/>
        <v>2.6029874027870616</v>
      </c>
      <c r="H35" s="165">
        <f t="shared" si="4"/>
        <v>2.4904100180874127</v>
      </c>
      <c r="I35" s="184">
        <f t="shared" si="5"/>
        <v>2.4047281081005818</v>
      </c>
      <c r="J35" s="165">
        <f t="shared" si="6"/>
        <v>2.3370572240603038</v>
      </c>
      <c r="K35" s="184">
        <f t="shared" si="7"/>
        <v>2.2820969851989057</v>
      </c>
      <c r="L35" s="165">
        <f t="shared" si="8"/>
        <v>2.2364735810505119</v>
      </c>
      <c r="M35" s="184">
        <f t="shared" si="9"/>
        <v>2.1979292217362301</v>
      </c>
      <c r="N35" s="165">
        <f t="shared" si="10"/>
        <v>2.1648914524188396</v>
      </c>
      <c r="O35" s="184">
        <f t="shared" si="11"/>
        <v>2.0888873192987276</v>
      </c>
      <c r="P35" s="165">
        <f t="shared" si="12"/>
        <v>2.0074714988038003</v>
      </c>
      <c r="Q35" s="184">
        <f t="shared" si="13"/>
        <v>1.9554472074641658</v>
      </c>
      <c r="R35" s="166">
        <f t="shared" si="14"/>
        <v>1.9471991308090033</v>
      </c>
    </row>
    <row r="36" spans="2:18" x14ac:dyDescent="0.2">
      <c r="B36" s="172">
        <v>26</v>
      </c>
      <c r="C36" s="173">
        <f t="shared" si="15"/>
        <v>4.2252012731274871</v>
      </c>
      <c r="D36" s="185">
        <f t="shared" si="0"/>
        <v>3.3690163594954443</v>
      </c>
      <c r="E36" s="185">
        <f t="shared" si="1"/>
        <v>2.9751539639733933</v>
      </c>
      <c r="F36" s="173">
        <f t="shared" si="2"/>
        <v>2.7425941372218592</v>
      </c>
      <c r="G36" s="185">
        <f t="shared" si="3"/>
        <v>2.5867900870625911</v>
      </c>
      <c r="H36" s="173">
        <f t="shared" si="4"/>
        <v>2.4741087807709587</v>
      </c>
      <c r="I36" s="185">
        <f t="shared" si="5"/>
        <v>2.3883136780251135</v>
      </c>
      <c r="J36" s="173">
        <f t="shared" si="6"/>
        <v>2.3205272350337482</v>
      </c>
      <c r="K36" s="185">
        <f t="shared" si="7"/>
        <v>2.2654526743472831</v>
      </c>
      <c r="L36" s="173">
        <f t="shared" si="8"/>
        <v>2.2197180736851587</v>
      </c>
      <c r="M36" s="185">
        <f t="shared" si="9"/>
        <v>2.1810665988755176</v>
      </c>
      <c r="N36" s="173">
        <f t="shared" si="10"/>
        <v>2.1479262277221571</v>
      </c>
      <c r="O36" s="185">
        <f t="shared" si="11"/>
        <v>2.0716419277448468</v>
      </c>
      <c r="P36" s="173">
        <f t="shared" si="12"/>
        <v>1.9898417525775969</v>
      </c>
      <c r="Q36" s="185">
        <f t="shared" si="13"/>
        <v>1.9375138160430561</v>
      </c>
      <c r="R36" s="174">
        <f t="shared" si="14"/>
        <v>1.9292126749479959</v>
      </c>
    </row>
    <row r="37" spans="2:18" x14ac:dyDescent="0.2">
      <c r="B37" s="168">
        <v>27</v>
      </c>
      <c r="C37" s="165">
        <f t="shared" si="15"/>
        <v>4.2100084683597556</v>
      </c>
      <c r="D37" s="184">
        <f t="shared" si="0"/>
        <v>3.3541308285291991</v>
      </c>
      <c r="E37" s="184">
        <f t="shared" si="1"/>
        <v>2.9603513184112873</v>
      </c>
      <c r="F37" s="165">
        <f t="shared" si="2"/>
        <v>2.727765306033989</v>
      </c>
      <c r="G37" s="184">
        <f t="shared" si="3"/>
        <v>2.5718864057841535</v>
      </c>
      <c r="H37" s="165">
        <f t="shared" si="4"/>
        <v>2.4591084425783349</v>
      </c>
      <c r="I37" s="184">
        <f t="shared" si="5"/>
        <v>2.3732077116305983</v>
      </c>
      <c r="J37" s="165">
        <f t="shared" si="6"/>
        <v>2.3053131774274283</v>
      </c>
      <c r="K37" s="184">
        <f t="shared" si="7"/>
        <v>2.250131477202665</v>
      </c>
      <c r="L37" s="165">
        <f t="shared" si="8"/>
        <v>2.2042924927726482</v>
      </c>
      <c r="M37" s="184">
        <f t="shared" si="9"/>
        <v>2.1655403157856803</v>
      </c>
      <c r="N37" s="165">
        <f t="shared" si="10"/>
        <v>2.1323033552378292</v>
      </c>
      <c r="O37" s="184">
        <f t="shared" si="11"/>
        <v>2.0557546854901849</v>
      </c>
      <c r="P37" s="165">
        <f t="shared" si="12"/>
        <v>1.9735904039339767</v>
      </c>
      <c r="Q37" s="184">
        <f t="shared" si="13"/>
        <v>1.920973673175935</v>
      </c>
      <c r="R37" s="166">
        <f t="shared" si="14"/>
        <v>1.9126219590774221</v>
      </c>
    </row>
    <row r="38" spans="2:18" x14ac:dyDescent="0.2">
      <c r="B38" s="172">
        <v>28</v>
      </c>
      <c r="C38" s="173">
        <f t="shared" si="15"/>
        <v>4.195971818557763</v>
      </c>
      <c r="D38" s="185">
        <f t="shared" si="0"/>
        <v>3.3403855582377591</v>
      </c>
      <c r="E38" s="185">
        <f t="shared" si="1"/>
        <v>2.9466852660172647</v>
      </c>
      <c r="F38" s="173">
        <f t="shared" si="2"/>
        <v>2.7140758041450779</v>
      </c>
      <c r="G38" s="185">
        <f t="shared" si="3"/>
        <v>2.5581275011108073</v>
      </c>
      <c r="H38" s="173">
        <f t="shared" si="4"/>
        <v>2.4452593950893835</v>
      </c>
      <c r="I38" s="185">
        <f t="shared" si="5"/>
        <v>2.3592598540564387</v>
      </c>
      <c r="J38" s="173">
        <f t="shared" si="6"/>
        <v>2.2912639841441615</v>
      </c>
      <c r="K38" s="185">
        <f t="shared" si="7"/>
        <v>2.2359816606702894</v>
      </c>
      <c r="L38" s="173">
        <f t="shared" si="8"/>
        <v>2.1900444888747517</v>
      </c>
      <c r="M38" s="185">
        <f t="shared" si="9"/>
        <v>2.1511974556149491</v>
      </c>
      <c r="N38" s="173">
        <f t="shared" si="10"/>
        <v>2.1178693969856757</v>
      </c>
      <c r="O38" s="185">
        <f t="shared" si="11"/>
        <v>2.0410708336863559</v>
      </c>
      <c r="P38" s="173">
        <f t="shared" si="12"/>
        <v>1.9585611022711011</v>
      </c>
      <c r="Q38" s="185">
        <f t="shared" si="13"/>
        <v>1.9056693344884301</v>
      </c>
      <c r="R38" s="174">
        <f t="shared" si="14"/>
        <v>1.8972693616085594</v>
      </c>
    </row>
    <row r="39" spans="2:18" x14ac:dyDescent="0.2">
      <c r="B39" s="168">
        <v>29</v>
      </c>
      <c r="C39" s="165">
        <f t="shared" si="15"/>
        <v>4.1829642890582726</v>
      </c>
      <c r="D39" s="184">
        <f t="shared" si="0"/>
        <v>3.3276544985720609</v>
      </c>
      <c r="E39" s="184">
        <f t="shared" si="1"/>
        <v>2.9340298896641732</v>
      </c>
      <c r="F39" s="165">
        <f t="shared" si="2"/>
        <v>2.701399331923267</v>
      </c>
      <c r="G39" s="184">
        <f t="shared" si="3"/>
        <v>2.5453864879485462</v>
      </c>
      <c r="H39" s="165">
        <f t="shared" si="4"/>
        <v>2.4324341045767892</v>
      </c>
      <c r="I39" s="184">
        <f t="shared" si="5"/>
        <v>2.3463419220205526</v>
      </c>
      <c r="J39" s="165">
        <f t="shared" si="6"/>
        <v>2.2782508490515503</v>
      </c>
      <c r="K39" s="184">
        <f t="shared" si="7"/>
        <v>2.2228738339299583</v>
      </c>
      <c r="L39" s="165">
        <f t="shared" si="8"/>
        <v>2.1768441283023519</v>
      </c>
      <c r="M39" s="184">
        <f t="shared" si="9"/>
        <v>2.1379075834785843</v>
      </c>
      <c r="N39" s="165">
        <f t="shared" si="10"/>
        <v>2.1044934566039637</v>
      </c>
      <c r="O39" s="184">
        <f t="shared" si="11"/>
        <v>2.0274583013950069</v>
      </c>
      <c r="P39" s="165">
        <f t="shared" si="12"/>
        <v>1.9446203517996814</v>
      </c>
      <c r="Q39" s="184">
        <f t="shared" si="13"/>
        <v>1.8914663189582042</v>
      </c>
      <c r="R39" s="166">
        <f t="shared" si="14"/>
        <v>1.883020241403512</v>
      </c>
    </row>
    <row r="40" spans="2:18" x14ac:dyDescent="0.2">
      <c r="B40" s="172">
        <v>30</v>
      </c>
      <c r="C40" s="173">
        <f t="shared" si="15"/>
        <v>4.1708767857666915</v>
      </c>
      <c r="D40" s="185">
        <f t="shared" si="0"/>
        <v>3.3158295010135221</v>
      </c>
      <c r="E40" s="185">
        <f t="shared" si="1"/>
        <v>2.9222771906450378</v>
      </c>
      <c r="F40" s="173">
        <f t="shared" si="2"/>
        <v>2.6896275736914181</v>
      </c>
      <c r="G40" s="185">
        <f t="shared" si="3"/>
        <v>2.5335545475592705</v>
      </c>
      <c r="H40" s="173">
        <f t="shared" si="4"/>
        <v>2.4205231885575733</v>
      </c>
      <c r="I40" s="185">
        <f t="shared" si="5"/>
        <v>2.334343964844781</v>
      </c>
      <c r="J40" s="173">
        <f t="shared" si="6"/>
        <v>2.2661632741381426</v>
      </c>
      <c r="K40" s="185">
        <f t="shared" si="7"/>
        <v>2.2106969833035763</v>
      </c>
      <c r="L40" s="173">
        <f t="shared" si="8"/>
        <v>2.164579917125474</v>
      </c>
      <c r="M40" s="185">
        <f t="shared" si="9"/>
        <v>2.1255587608755109</v>
      </c>
      <c r="N40" s="173">
        <f t="shared" si="10"/>
        <v>2.0920631852759421</v>
      </c>
      <c r="O40" s="185">
        <f t="shared" si="11"/>
        <v>2.0148036912954894</v>
      </c>
      <c r="P40" s="173">
        <f t="shared" si="12"/>
        <v>1.9316534752369297</v>
      </c>
      <c r="Q40" s="185">
        <f t="shared" si="13"/>
        <v>1.8782490589079244</v>
      </c>
      <c r="R40" s="174">
        <f t="shared" si="14"/>
        <v>1.8697588856542042</v>
      </c>
    </row>
    <row r="41" spans="2:18" x14ac:dyDescent="0.2">
      <c r="B41" s="168">
        <v>40</v>
      </c>
      <c r="C41" s="165">
        <f t="shared" si="15"/>
        <v>4.0847457333016566</v>
      </c>
      <c r="D41" s="184">
        <f t="shared" si="0"/>
        <v>3.2317269928308443</v>
      </c>
      <c r="E41" s="184">
        <f t="shared" si="1"/>
        <v>2.8387453980206416</v>
      </c>
      <c r="F41" s="165">
        <f t="shared" si="2"/>
        <v>2.6059749491238664</v>
      </c>
      <c r="G41" s="184">
        <f t="shared" si="3"/>
        <v>2.4494664263887103</v>
      </c>
      <c r="H41" s="165">
        <f t="shared" si="4"/>
        <v>2.3358524047916633</v>
      </c>
      <c r="I41" s="184">
        <f t="shared" si="5"/>
        <v>2.2490243251473858</v>
      </c>
      <c r="J41" s="165">
        <f t="shared" si="6"/>
        <v>2.1801704532006414</v>
      </c>
      <c r="K41" s="184">
        <f t="shared" si="7"/>
        <v>2.1240292640166967</v>
      </c>
      <c r="L41" s="165">
        <f t="shared" si="8"/>
        <v>2.0772480464172101</v>
      </c>
      <c r="M41" s="184">
        <f t="shared" si="9"/>
        <v>2.0375803294219414</v>
      </c>
      <c r="N41" s="165">
        <f t="shared" si="10"/>
        <v>2.0034593955018329</v>
      </c>
      <c r="O41" s="184">
        <f t="shared" si="11"/>
        <v>1.9244628235276697</v>
      </c>
      <c r="P41" s="165">
        <f t="shared" si="12"/>
        <v>1.8388593490242173</v>
      </c>
      <c r="Q41" s="184">
        <f t="shared" si="13"/>
        <v>1.7834576326780953</v>
      </c>
      <c r="R41" s="166">
        <f t="shared" si="14"/>
        <v>1.7746128536858279</v>
      </c>
    </row>
    <row r="42" spans="2:18" x14ac:dyDescent="0.2">
      <c r="B42" s="172">
        <v>50</v>
      </c>
      <c r="C42" s="173">
        <f t="shared" si="15"/>
        <v>4.0343097068029978</v>
      </c>
      <c r="D42" s="185">
        <f t="shared" si="0"/>
        <v>3.1826098520427748</v>
      </c>
      <c r="E42" s="185">
        <f t="shared" si="1"/>
        <v>2.7900084064022015</v>
      </c>
      <c r="F42" s="173">
        <f t="shared" si="2"/>
        <v>2.5571791499763585</v>
      </c>
      <c r="G42" s="185">
        <f t="shared" si="3"/>
        <v>2.4004091270992869</v>
      </c>
      <c r="H42" s="173">
        <f t="shared" si="4"/>
        <v>2.2864359041780218</v>
      </c>
      <c r="I42" s="185">
        <f t="shared" si="5"/>
        <v>2.1992020871211531</v>
      </c>
      <c r="J42" s="173">
        <f t="shared" si="6"/>
        <v>2.1299227591797312</v>
      </c>
      <c r="K42" s="185">
        <f t="shared" si="7"/>
        <v>2.0733511634746224</v>
      </c>
      <c r="L42" s="173">
        <f t="shared" si="8"/>
        <v>2.0261429611711046</v>
      </c>
      <c r="M42" s="185">
        <f t="shared" si="9"/>
        <v>1.9860564724828134</v>
      </c>
      <c r="N42" s="173">
        <f t="shared" si="10"/>
        <v>1.9515276831417874</v>
      </c>
      <c r="O42" s="185">
        <f t="shared" si="11"/>
        <v>1.8713839777021888</v>
      </c>
      <c r="P42" s="173">
        <f t="shared" si="12"/>
        <v>1.7841248184049192</v>
      </c>
      <c r="Q42" s="185">
        <f t="shared" si="13"/>
        <v>1.7273434959558935</v>
      </c>
      <c r="R42" s="174">
        <f t="shared" si="14"/>
        <v>1.7182507085999488</v>
      </c>
    </row>
    <row r="43" spans="2:18" x14ac:dyDescent="0.2">
      <c r="B43" s="168">
        <v>60</v>
      </c>
      <c r="C43" s="165">
        <f t="shared" si="15"/>
        <v>4.001191376754992</v>
      </c>
      <c r="D43" s="184">
        <f t="shared" ref="D43:D62" si="16">FINV($F$4,$D$10,B43)</f>
        <v>3.1504113105827263</v>
      </c>
      <c r="E43" s="184">
        <f t="shared" ref="E43:E62" si="17">FINV($F$4,$E$10,$B43)</f>
        <v>2.7580782958425822</v>
      </c>
      <c r="F43" s="165">
        <f t="shared" ref="F43:F62" si="18">FINV($F$4,$F$10,$B43)</f>
        <v>2.5252151019828779</v>
      </c>
      <c r="G43" s="184">
        <f t="shared" ref="G43:G62" si="19">FINV($F$4,$G$10,$B43)</f>
        <v>2.3682702357010696</v>
      </c>
      <c r="H43" s="165">
        <f t="shared" ref="H43:H62" si="20">FINV($F$4,$H$10,$B43)</f>
        <v>2.2540530098570333</v>
      </c>
      <c r="I43" s="184">
        <f t="shared" ref="I43:I62" si="21">FINV($F$4,$I$10,$B43)</f>
        <v>2.1665411560494183</v>
      </c>
      <c r="J43" s="165">
        <f t="shared" ref="J43:J62" si="22">FINV($F$4,$J$10,$B43)</f>
        <v>2.0969683125159482</v>
      </c>
      <c r="K43" s="184">
        <f t="shared" ref="K43:K62" si="23">FINV($F$4,$K$10,$B43)</f>
        <v>2.0400980554764687</v>
      </c>
      <c r="L43" s="165">
        <f t="shared" ref="L43:L62" si="24">FINV($F$4,$L$10,$B43)</f>
        <v>1.9925919966294188</v>
      </c>
      <c r="M43" s="184">
        <f t="shared" ref="M43:M62" si="25">FINV($F$4,$M$10,$B43)</f>
        <v>1.9522119385026293</v>
      </c>
      <c r="N43" s="165">
        <f t="shared" ref="N43:N62" si="26">FINV($F$4,$N$10,$B43)</f>
        <v>1.9173958991763131</v>
      </c>
      <c r="O43" s="184">
        <f t="shared" ref="O43:O62" si="27">FINV($F$4,$O$10,$B43)</f>
        <v>1.8364373601871415</v>
      </c>
      <c r="P43" s="165">
        <f t="shared" ref="P43:P62" si="28">FINV($F$4,$P$10,$B43)</f>
        <v>1.7479841331228561</v>
      </c>
      <c r="Q43" s="184">
        <f t="shared" ref="Q43:Q62" si="29">FINV($F$4,$Q$10,$B43)</f>
        <v>1.6901911474952602</v>
      </c>
      <c r="R43" s="166">
        <f t="shared" ref="R43:R62" si="30">FINV($F$4,$R$10,$B43)</f>
        <v>1.6809148321352485</v>
      </c>
    </row>
    <row r="44" spans="2:18" x14ac:dyDescent="0.2">
      <c r="B44" s="172">
        <v>70</v>
      </c>
      <c r="C44" s="173">
        <f t="shared" ref="C44:C62" si="31">FINV($F$4,$C$10,B44)</f>
        <v>3.9777793928101941</v>
      </c>
      <c r="D44" s="185">
        <f t="shared" si="16"/>
        <v>3.127675600959142</v>
      </c>
      <c r="E44" s="185">
        <f t="shared" si="17"/>
        <v>2.7355414509129554</v>
      </c>
      <c r="F44" s="173">
        <f t="shared" si="18"/>
        <v>2.5026564633999411</v>
      </c>
      <c r="G44" s="185">
        <f t="shared" si="19"/>
        <v>2.3455863266192245</v>
      </c>
      <c r="H44" s="173">
        <f t="shared" si="20"/>
        <v>2.2311924197841089</v>
      </c>
      <c r="I44" s="185">
        <f t="shared" si="21"/>
        <v>2.1434780407053395</v>
      </c>
      <c r="J44" s="173">
        <f t="shared" si="22"/>
        <v>2.0736904009089949</v>
      </c>
      <c r="K44" s="185">
        <f t="shared" si="23"/>
        <v>2.0166006900210407</v>
      </c>
      <c r="L44" s="173">
        <f t="shared" si="24"/>
        <v>1.9688749479889618</v>
      </c>
      <c r="M44" s="185">
        <f t="shared" si="25"/>
        <v>1.9282776052545487</v>
      </c>
      <c r="N44" s="173">
        <f t="shared" si="26"/>
        <v>1.8932482452236354</v>
      </c>
      <c r="O44" s="185">
        <f t="shared" si="27"/>
        <v>1.8116808158927353</v>
      </c>
      <c r="P44" s="173">
        <f t="shared" si="28"/>
        <v>1.7223252249237864</v>
      </c>
      <c r="Q44" s="185">
        <f t="shared" si="29"/>
        <v>1.6637580626338264</v>
      </c>
      <c r="R44" s="174">
        <f t="shared" si="30"/>
        <v>1.654340321056611</v>
      </c>
    </row>
    <row r="45" spans="2:18" x14ac:dyDescent="0.2">
      <c r="B45" s="168">
        <v>80</v>
      </c>
      <c r="C45" s="165">
        <f t="shared" si="31"/>
        <v>3.9603524206149485</v>
      </c>
      <c r="D45" s="184">
        <f t="shared" si="16"/>
        <v>3.1107661660804542</v>
      </c>
      <c r="E45" s="184">
        <f t="shared" si="17"/>
        <v>2.7187849816349399</v>
      </c>
      <c r="F45" s="165">
        <f t="shared" si="18"/>
        <v>2.4858849377488674</v>
      </c>
      <c r="G45" s="184">
        <f t="shared" si="19"/>
        <v>2.3287205886078652</v>
      </c>
      <c r="H45" s="165">
        <f t="shared" si="20"/>
        <v>2.2141927954879144</v>
      </c>
      <c r="I45" s="184">
        <f t="shared" si="21"/>
        <v>2.1263242827357822</v>
      </c>
      <c r="J45" s="165">
        <f t="shared" si="22"/>
        <v>2.0563726115589818</v>
      </c>
      <c r="K45" s="184">
        <f t="shared" si="23"/>
        <v>1.9991148058168384</v>
      </c>
      <c r="L45" s="165">
        <f t="shared" si="24"/>
        <v>1.9512203222343056</v>
      </c>
      <c r="M45" s="184">
        <f t="shared" si="25"/>
        <v>1.9104556382897724</v>
      </c>
      <c r="N45" s="165">
        <f t="shared" si="26"/>
        <v>1.8752615734199058</v>
      </c>
      <c r="O45" s="184">
        <f t="shared" si="27"/>
        <v>1.7932217894004869</v>
      </c>
      <c r="P45" s="165">
        <f t="shared" si="28"/>
        <v>1.7031600835348661</v>
      </c>
      <c r="Q45" s="184">
        <f t="shared" si="29"/>
        <v>1.6439811408597975</v>
      </c>
      <c r="R45" s="166">
        <f t="shared" si="30"/>
        <v>1.6344510232769429</v>
      </c>
    </row>
    <row r="46" spans="2:18" x14ac:dyDescent="0.2">
      <c r="B46" s="172">
        <v>90</v>
      </c>
      <c r="C46" s="173">
        <f t="shared" si="31"/>
        <v>3.9468757306805347</v>
      </c>
      <c r="D46" s="185">
        <f t="shared" si="16"/>
        <v>3.0976980352519248</v>
      </c>
      <c r="E46" s="185">
        <f t="shared" si="17"/>
        <v>2.7058380510161339</v>
      </c>
      <c r="F46" s="173">
        <f t="shared" si="18"/>
        <v>2.4729270390334448</v>
      </c>
      <c r="G46" s="185">
        <f t="shared" si="19"/>
        <v>2.3156892378361018</v>
      </c>
      <c r="H46" s="173">
        <f t="shared" si="20"/>
        <v>2.2010564661657734</v>
      </c>
      <c r="I46" s="185">
        <f t="shared" si="21"/>
        <v>2.1130667031333297</v>
      </c>
      <c r="J46" s="173">
        <f t="shared" si="22"/>
        <v>2.0429856577822085</v>
      </c>
      <c r="K46" s="185">
        <f t="shared" si="23"/>
        <v>1.9855949637305008</v>
      </c>
      <c r="L46" s="173">
        <f t="shared" si="24"/>
        <v>1.9375667908827279</v>
      </c>
      <c r="M46" s="185">
        <f t="shared" si="25"/>
        <v>1.8966692534133975</v>
      </c>
      <c r="N46" s="173">
        <f t="shared" si="26"/>
        <v>1.8613441686403196</v>
      </c>
      <c r="O46" s="185">
        <f t="shared" si="27"/>
        <v>1.7789272301842036</v>
      </c>
      <c r="P46" s="173">
        <f t="shared" si="28"/>
        <v>1.6882978236728543</v>
      </c>
      <c r="Q46" s="185">
        <f t="shared" si="29"/>
        <v>1.6286231286545252</v>
      </c>
      <c r="R46" s="174">
        <f t="shared" si="30"/>
        <v>1.6190015412632874</v>
      </c>
    </row>
    <row r="47" spans="2:18" x14ac:dyDescent="0.2">
      <c r="B47" s="168">
        <v>100</v>
      </c>
      <c r="C47" s="165">
        <f t="shared" si="31"/>
        <v>3.9361429863126585</v>
      </c>
      <c r="D47" s="184">
        <f t="shared" si="16"/>
        <v>3.0872958927489331</v>
      </c>
      <c r="E47" s="184">
        <f t="shared" si="17"/>
        <v>2.6955342548881398</v>
      </c>
      <c r="F47" s="165">
        <f t="shared" si="18"/>
        <v>2.4626149259116423</v>
      </c>
      <c r="G47" s="184">
        <f t="shared" si="19"/>
        <v>2.3053182416752289</v>
      </c>
      <c r="H47" s="165">
        <f t="shared" si="20"/>
        <v>2.1906009404290376</v>
      </c>
      <c r="I47" s="184">
        <f t="shared" si="21"/>
        <v>2.1025132945527765</v>
      </c>
      <c r="J47" s="165">
        <f t="shared" si="22"/>
        <v>2.0323275918484347</v>
      </c>
      <c r="K47" s="184">
        <f t="shared" si="23"/>
        <v>1.9748291982587596</v>
      </c>
      <c r="L47" s="165">
        <f t="shared" si="24"/>
        <v>1.9266924887545498</v>
      </c>
      <c r="M47" s="184">
        <f t="shared" si="25"/>
        <v>1.8856869145868529</v>
      </c>
      <c r="N47" s="165">
        <f t="shared" si="26"/>
        <v>1.8502551141899268</v>
      </c>
      <c r="O47" s="184">
        <f t="shared" si="27"/>
        <v>1.7675300555665774</v>
      </c>
      <c r="P47" s="165">
        <f t="shared" si="28"/>
        <v>1.6764342497531706</v>
      </c>
      <c r="Q47" s="184">
        <f t="shared" si="29"/>
        <v>1.6163496177117169</v>
      </c>
      <c r="R47" s="166">
        <f t="shared" si="30"/>
        <v>1.6066521148824573</v>
      </c>
    </row>
    <row r="48" spans="2:18" x14ac:dyDescent="0.2">
      <c r="B48" s="172">
        <v>110</v>
      </c>
      <c r="C48" s="173">
        <f t="shared" si="31"/>
        <v>3.9273936334651984</v>
      </c>
      <c r="D48" s="185">
        <f t="shared" si="16"/>
        <v>3.0788194915716502</v>
      </c>
      <c r="E48" s="185">
        <f t="shared" si="17"/>
        <v>2.6871392266971905</v>
      </c>
      <c r="F48" s="173">
        <f t="shared" si="18"/>
        <v>2.4542133900491461</v>
      </c>
      <c r="G48" s="185">
        <f t="shared" si="19"/>
        <v>2.296868442932932</v>
      </c>
      <c r="H48" s="173">
        <f t="shared" si="20"/>
        <v>2.1820816119534916</v>
      </c>
      <c r="I48" s="185">
        <f t="shared" si="21"/>
        <v>2.0939132856545539</v>
      </c>
      <c r="J48" s="173">
        <f t="shared" si="22"/>
        <v>2.0236411737256836</v>
      </c>
      <c r="K48" s="185">
        <f t="shared" si="23"/>
        <v>1.9660537247703134</v>
      </c>
      <c r="L48" s="173">
        <f t="shared" si="24"/>
        <v>1.9178271403928664</v>
      </c>
      <c r="M48" s="185">
        <f t="shared" si="25"/>
        <v>1.8767319839177952</v>
      </c>
      <c r="N48" s="173">
        <f t="shared" si="26"/>
        <v>1.8412115805407354</v>
      </c>
      <c r="O48" s="185">
        <f t="shared" si="27"/>
        <v>1.7582300604253784</v>
      </c>
      <c r="P48" s="173">
        <f t="shared" si="28"/>
        <v>1.6667442371223649</v>
      </c>
      <c r="Q48" s="185">
        <f t="shared" si="29"/>
        <v>1.6063149405374311</v>
      </c>
      <c r="R48" s="174">
        <f t="shared" si="30"/>
        <v>1.5965534119354496</v>
      </c>
    </row>
    <row r="49" spans="2:18" x14ac:dyDescent="0.2">
      <c r="B49" s="168">
        <v>120</v>
      </c>
      <c r="C49" s="165">
        <f t="shared" si="31"/>
        <v>3.9201244089699174</v>
      </c>
      <c r="D49" s="184">
        <f t="shared" si="16"/>
        <v>3.0717794046586815</v>
      </c>
      <c r="E49" s="184">
        <f t="shared" si="17"/>
        <v>2.6801675698502416</v>
      </c>
      <c r="F49" s="165">
        <f t="shared" si="18"/>
        <v>2.4472365114692973</v>
      </c>
      <c r="G49" s="184">
        <f t="shared" si="19"/>
        <v>2.2898512831435824</v>
      </c>
      <c r="H49" s="165">
        <f t="shared" si="20"/>
        <v>2.1750062525809954</v>
      </c>
      <c r="I49" s="184">
        <f t="shared" si="21"/>
        <v>2.0867702777215946</v>
      </c>
      <c r="J49" s="165">
        <f t="shared" si="22"/>
        <v>2.0164256130641847</v>
      </c>
      <c r="K49" s="184">
        <f t="shared" si="23"/>
        <v>1.9587632956963756</v>
      </c>
      <c r="L49" s="165">
        <f t="shared" si="24"/>
        <v>1.9104610646691997</v>
      </c>
      <c r="M49" s="184">
        <f t="shared" si="25"/>
        <v>1.8692904223335318</v>
      </c>
      <c r="N49" s="165">
        <f t="shared" si="26"/>
        <v>1.8336952763569871</v>
      </c>
      <c r="O49" s="184">
        <f t="shared" si="27"/>
        <v>1.7504969606635032</v>
      </c>
      <c r="P49" s="165">
        <f t="shared" si="28"/>
        <v>1.6586801432365885</v>
      </c>
      <c r="Q49" s="184">
        <f t="shared" si="29"/>
        <v>1.5979569935290989</v>
      </c>
      <c r="R49" s="166">
        <f t="shared" si="30"/>
        <v>1.5881407336542346</v>
      </c>
    </row>
    <row r="50" spans="2:18" x14ac:dyDescent="0.2">
      <c r="B50" s="172">
        <v>130</v>
      </c>
      <c r="C50" s="173">
        <f t="shared" si="31"/>
        <v>3.9139890286567245</v>
      </c>
      <c r="D50" s="185">
        <f t="shared" si="16"/>
        <v>3.0658390938235041</v>
      </c>
      <c r="E50" s="185">
        <f t="shared" si="17"/>
        <v>2.6742855982391349</v>
      </c>
      <c r="F50" s="173">
        <f t="shared" si="18"/>
        <v>2.4413502626902677</v>
      </c>
      <c r="G50" s="185">
        <f t="shared" si="19"/>
        <v>2.2839309043005218</v>
      </c>
      <c r="H50" s="173">
        <f t="shared" si="20"/>
        <v>2.1690364420748542</v>
      </c>
      <c r="I50" s="185">
        <f t="shared" si="21"/>
        <v>2.0807429278563769</v>
      </c>
      <c r="J50" s="173">
        <f t="shared" si="22"/>
        <v>2.01033648035631</v>
      </c>
      <c r="K50" s="185">
        <f t="shared" si="23"/>
        <v>1.9526103406502398</v>
      </c>
      <c r="L50" s="173">
        <f t="shared" si="24"/>
        <v>1.9042435594015348</v>
      </c>
      <c r="M50" s="185">
        <f t="shared" si="25"/>
        <v>1.8630084421578115</v>
      </c>
      <c r="N50" s="173">
        <f t="shared" si="26"/>
        <v>1.8273493966005034</v>
      </c>
      <c r="O50" s="185">
        <f t="shared" si="27"/>
        <v>1.7439654056853029</v>
      </c>
      <c r="P50" s="173">
        <f t="shared" si="28"/>
        <v>1.6518641523345989</v>
      </c>
      <c r="Q50" s="185">
        <f t="shared" si="29"/>
        <v>1.5908874831231457</v>
      </c>
      <c r="R50" s="174">
        <f t="shared" si="30"/>
        <v>1.5810238965419989</v>
      </c>
    </row>
    <row r="51" spans="2:18" x14ac:dyDescent="0.2">
      <c r="B51" s="168">
        <v>140</v>
      </c>
      <c r="C51" s="165">
        <f t="shared" si="31"/>
        <v>3.9087414104099754</v>
      </c>
      <c r="D51" s="184">
        <f t="shared" si="16"/>
        <v>3.0607595370748899</v>
      </c>
      <c r="E51" s="184">
        <f t="shared" si="17"/>
        <v>2.6692563635313133</v>
      </c>
      <c r="F51" s="165">
        <f t="shared" si="18"/>
        <v>2.4363174638120006</v>
      </c>
      <c r="G51" s="184">
        <f t="shared" si="19"/>
        <v>2.2788688164164386</v>
      </c>
      <c r="H51" s="165">
        <f t="shared" si="20"/>
        <v>2.1639318470026376</v>
      </c>
      <c r="I51" s="184">
        <f t="shared" si="21"/>
        <v>2.0755887934310691</v>
      </c>
      <c r="J51" s="165">
        <f t="shared" si="22"/>
        <v>2.0051291000025451</v>
      </c>
      <c r="K51" s="184">
        <f t="shared" si="23"/>
        <v>1.9473479068243948</v>
      </c>
      <c r="L51" s="165">
        <f t="shared" si="24"/>
        <v>1.8989253965146906</v>
      </c>
      <c r="M51" s="184">
        <f t="shared" si="25"/>
        <v>1.8576345693107514</v>
      </c>
      <c r="N51" s="165">
        <f t="shared" si="26"/>
        <v>1.8219202666478536</v>
      </c>
      <c r="O51" s="184">
        <f t="shared" si="27"/>
        <v>1.7383754664678399</v>
      </c>
      <c r="P51" s="165">
        <f t="shared" si="28"/>
        <v>1.6460271516194136</v>
      </c>
      <c r="Q51" s="184">
        <f t="shared" si="29"/>
        <v>1.5848295173217741</v>
      </c>
      <c r="R51" s="166">
        <f t="shared" si="30"/>
        <v>1.5749245992352621</v>
      </c>
    </row>
    <row r="52" spans="2:18" x14ac:dyDescent="0.2">
      <c r="B52" s="172">
        <v>150</v>
      </c>
      <c r="C52" s="173">
        <f t="shared" si="31"/>
        <v>3.9042018766656765</v>
      </c>
      <c r="D52" s="185">
        <f t="shared" si="16"/>
        <v>3.056366295139044</v>
      </c>
      <c r="E52" s="185">
        <f t="shared" si="17"/>
        <v>2.6649069696131087</v>
      </c>
      <c r="F52" s="173">
        <f t="shared" si="18"/>
        <v>2.4319650564122641</v>
      </c>
      <c r="G52" s="185">
        <f t="shared" si="19"/>
        <v>2.274490998607126</v>
      </c>
      <c r="H52" s="173">
        <f t="shared" si="20"/>
        <v>2.1595170861764643</v>
      </c>
      <c r="I52" s="185">
        <f t="shared" si="21"/>
        <v>2.071130932833487</v>
      </c>
      <c r="J52" s="173">
        <f t="shared" si="22"/>
        <v>2.000624874958457</v>
      </c>
      <c r="K52" s="185">
        <f t="shared" si="23"/>
        <v>1.942795705798023</v>
      </c>
      <c r="L52" s="173">
        <f t="shared" si="24"/>
        <v>1.8943245946990719</v>
      </c>
      <c r="M52" s="185">
        <f t="shared" si="25"/>
        <v>1.8529851485740405</v>
      </c>
      <c r="N52" s="173">
        <f t="shared" si="26"/>
        <v>1.8172225886049127</v>
      </c>
      <c r="O52" s="185">
        <f t="shared" si="27"/>
        <v>1.7335371619898094</v>
      </c>
      <c r="P52" s="173">
        <f t="shared" si="28"/>
        <v>1.6409722439736549</v>
      </c>
      <c r="Q52" s="185">
        <f t="shared" si="29"/>
        <v>1.5795803013236278</v>
      </c>
      <c r="R52" s="174">
        <f t="shared" si="30"/>
        <v>1.5696389743255434</v>
      </c>
    </row>
    <row r="53" spans="2:18" x14ac:dyDescent="0.2">
      <c r="B53" s="168">
        <v>160</v>
      </c>
      <c r="C53" s="165">
        <f t="shared" si="31"/>
        <v>3.9002361716935798</v>
      </c>
      <c r="D53" s="184">
        <f t="shared" si="16"/>
        <v>3.0525290799315377</v>
      </c>
      <c r="E53" s="184">
        <f t="shared" si="17"/>
        <v>2.6611083001434279</v>
      </c>
      <c r="F53" s="165">
        <f t="shared" si="18"/>
        <v>2.4281638071879565</v>
      </c>
      <c r="G53" s="184">
        <f t="shared" si="19"/>
        <v>2.2706674945344343</v>
      </c>
      <c r="H53" s="165">
        <f t="shared" si="20"/>
        <v>2.1556611774885246</v>
      </c>
      <c r="I53" s="184">
        <f t="shared" si="21"/>
        <v>2.0672371846792146</v>
      </c>
      <c r="J53" s="165">
        <f t="shared" si="22"/>
        <v>1.9966903905250106</v>
      </c>
      <c r="K53" s="184">
        <f t="shared" si="23"/>
        <v>1.9388190402847101</v>
      </c>
      <c r="L53" s="165">
        <f t="shared" si="24"/>
        <v>1.8903051709946201</v>
      </c>
      <c r="M53" s="184">
        <f t="shared" si="25"/>
        <v>1.8489229238883744</v>
      </c>
      <c r="N53" s="165">
        <f t="shared" si="26"/>
        <v>1.8131178553168465</v>
      </c>
      <c r="O53" s="184">
        <f t="shared" si="27"/>
        <v>1.7293084088224526</v>
      </c>
      <c r="P53" s="165">
        <f t="shared" si="28"/>
        <v>1.6365520379675107</v>
      </c>
      <c r="Q53" s="184">
        <f t="shared" si="29"/>
        <v>1.5749878906398407</v>
      </c>
      <c r="R53" s="166">
        <f t="shared" si="30"/>
        <v>1.5650142464517893</v>
      </c>
    </row>
    <row r="54" spans="2:18" x14ac:dyDescent="0.2">
      <c r="B54" s="172">
        <v>170</v>
      </c>
      <c r="C54" s="173">
        <f t="shared" si="31"/>
        <v>3.8967419620062245</v>
      </c>
      <c r="D54" s="185">
        <f t="shared" si="16"/>
        <v>3.0491486177374134</v>
      </c>
      <c r="E54" s="185">
        <f t="shared" si="17"/>
        <v>2.6577619869305051</v>
      </c>
      <c r="F54" s="173">
        <f t="shared" si="18"/>
        <v>2.4248152616347709</v>
      </c>
      <c r="G54" s="185">
        <f t="shared" si="19"/>
        <v>2.2672992959536997</v>
      </c>
      <c r="H54" s="173">
        <f t="shared" si="20"/>
        <v>2.1522643245429647</v>
      </c>
      <c r="I54" s="185">
        <f t="shared" si="21"/>
        <v>2.0638068447397502</v>
      </c>
      <c r="J54" s="173">
        <f t="shared" si="22"/>
        <v>1.993223976146077</v>
      </c>
      <c r="K54" s="185">
        <f t="shared" si="23"/>
        <v>1.9353152494448058</v>
      </c>
      <c r="L54" s="173">
        <f t="shared" si="24"/>
        <v>1.8867634705857346</v>
      </c>
      <c r="M54" s="185">
        <f t="shared" si="25"/>
        <v>1.8453432549374278</v>
      </c>
      <c r="N54" s="173">
        <f t="shared" si="26"/>
        <v>1.8095004568107571</v>
      </c>
      <c r="O54" s="185">
        <f t="shared" si="27"/>
        <v>1.7255808187266364</v>
      </c>
      <c r="P54" s="173">
        <f t="shared" si="28"/>
        <v>1.6326540035420825</v>
      </c>
      <c r="Q54" s="185">
        <f t="shared" si="29"/>
        <v>1.5709361839481992</v>
      </c>
      <c r="R54" s="174">
        <f t="shared" si="30"/>
        <v>1.5609336606205242</v>
      </c>
    </row>
    <row r="55" spans="2:18" x14ac:dyDescent="0.2">
      <c r="B55" s="168">
        <v>180</v>
      </c>
      <c r="C55" s="165">
        <f t="shared" si="31"/>
        <v>3.8936398811195998</v>
      </c>
      <c r="D55" s="184">
        <f t="shared" si="16"/>
        <v>3.0461479393174371</v>
      </c>
      <c r="E55" s="184">
        <f t="shared" si="17"/>
        <v>2.6547917714616922</v>
      </c>
      <c r="F55" s="165">
        <f t="shared" si="18"/>
        <v>2.4218430962189545</v>
      </c>
      <c r="G55" s="184">
        <f t="shared" si="19"/>
        <v>2.2643096480525995</v>
      </c>
      <c r="H55" s="165">
        <f t="shared" si="20"/>
        <v>2.149249156936337</v>
      </c>
      <c r="I55" s="184">
        <f t="shared" si="21"/>
        <v>2.0607618323558423</v>
      </c>
      <c r="J55" s="165">
        <f t="shared" si="22"/>
        <v>1.9901467941118502</v>
      </c>
      <c r="K55" s="184">
        <f t="shared" si="23"/>
        <v>1.9322047187940288</v>
      </c>
      <c r="L55" s="165">
        <f t="shared" si="24"/>
        <v>1.8836190984112207</v>
      </c>
      <c r="M55" s="184">
        <f t="shared" si="25"/>
        <v>1.8421649718742314</v>
      </c>
      <c r="N55" s="165">
        <f t="shared" si="26"/>
        <v>1.80628846008363</v>
      </c>
      <c r="O55" s="184">
        <f t="shared" si="27"/>
        <v>1.7222702675671118</v>
      </c>
      <c r="P55" s="165">
        <f t="shared" si="28"/>
        <v>1.629190737206442</v>
      </c>
      <c r="Q55" s="184">
        <f t="shared" si="29"/>
        <v>1.5673349370131326</v>
      </c>
      <c r="R55" s="166">
        <f t="shared" si="30"/>
        <v>1.5573064512364505</v>
      </c>
    </row>
    <row r="56" spans="2:18" x14ac:dyDescent="0.2">
      <c r="B56" s="172">
        <v>190</v>
      </c>
      <c r="C56" s="173">
        <f t="shared" si="31"/>
        <v>3.8908674287894232</v>
      </c>
      <c r="D56" s="185">
        <f t="shared" si="16"/>
        <v>3.0434664490880237</v>
      </c>
      <c r="E56" s="185">
        <f t="shared" si="17"/>
        <v>2.6521376237189873</v>
      </c>
      <c r="F56" s="173">
        <f t="shared" si="18"/>
        <v>2.4191872310492823</v>
      </c>
      <c r="G56" s="185">
        <f t="shared" si="19"/>
        <v>2.261638130028695</v>
      </c>
      <c r="H56" s="173">
        <f t="shared" si="20"/>
        <v>2.1465547660479065</v>
      </c>
      <c r="I56" s="185">
        <f t="shared" si="21"/>
        <v>2.0580406752417839</v>
      </c>
      <c r="J56" s="173">
        <f t="shared" si="22"/>
        <v>1.9873967706107927</v>
      </c>
      <c r="K56" s="185">
        <f t="shared" si="23"/>
        <v>1.9294247566488121</v>
      </c>
      <c r="L56" s="173">
        <f t="shared" si="24"/>
        <v>1.880808741250362</v>
      </c>
      <c r="M56" s="185">
        <f t="shared" si="25"/>
        <v>1.8393241439395125</v>
      </c>
      <c r="N56" s="173">
        <f t="shared" si="26"/>
        <v>1.8034173255199992</v>
      </c>
      <c r="O56" s="185">
        <f t="shared" si="27"/>
        <v>1.719310464382396</v>
      </c>
      <c r="P56" s="173">
        <f t="shared" si="28"/>
        <v>1.6260933176450421</v>
      </c>
      <c r="Q56" s="185">
        <f t="shared" si="29"/>
        <v>1.5641129404795087</v>
      </c>
      <c r="R56" s="174">
        <f t="shared" si="30"/>
        <v>1.5540609880057765</v>
      </c>
    </row>
    <row r="57" spans="2:18" x14ac:dyDescent="0.2">
      <c r="B57" s="168">
        <v>200</v>
      </c>
      <c r="C57" s="165">
        <f t="shared" si="31"/>
        <v>3.8883747167816729</v>
      </c>
      <c r="D57" s="184">
        <f t="shared" si="16"/>
        <v>3.041055791125248</v>
      </c>
      <c r="E57" s="184">
        <f t="shared" si="17"/>
        <v>2.6497516433979591</v>
      </c>
      <c r="F57" s="165">
        <f t="shared" si="18"/>
        <v>2.4167997269534731</v>
      </c>
      <c r="G57" s="184">
        <f t="shared" si="19"/>
        <v>2.2592365296661323</v>
      </c>
      <c r="H57" s="165">
        <f t="shared" si="20"/>
        <v>2.1441325480932862</v>
      </c>
      <c r="I57" s="184">
        <f t="shared" si="21"/>
        <v>2.0555943165696848</v>
      </c>
      <c r="J57" s="165">
        <f t="shared" si="22"/>
        <v>1.9849243648217672</v>
      </c>
      <c r="K57" s="184">
        <f t="shared" si="23"/>
        <v>1.9269253245578002</v>
      </c>
      <c r="L57" s="165">
        <f t="shared" si="24"/>
        <v>1.8782818596080968</v>
      </c>
      <c r="M57" s="184">
        <f t="shared" si="25"/>
        <v>1.8367697333755633</v>
      </c>
      <c r="N57" s="165">
        <f t="shared" si="26"/>
        <v>1.8008355236802074</v>
      </c>
      <c r="O57" s="184">
        <f t="shared" si="27"/>
        <v>1.7166484630872159</v>
      </c>
      <c r="P57" s="165">
        <f t="shared" si="28"/>
        <v>1.623306664387385</v>
      </c>
      <c r="Q57" s="184">
        <f t="shared" si="29"/>
        <v>1.5612132502842606</v>
      </c>
      <c r="R57" s="166">
        <f t="shared" si="30"/>
        <v>1.5511399832636261</v>
      </c>
    </row>
    <row r="58" spans="2:18" x14ac:dyDescent="0.2">
      <c r="B58" s="172">
        <v>400</v>
      </c>
      <c r="C58" s="173">
        <f t="shared" si="31"/>
        <v>3.8648113412619756</v>
      </c>
      <c r="D58" s="185">
        <f t="shared" si="16"/>
        <v>3.018280744493798</v>
      </c>
      <c r="E58" s="185">
        <f t="shared" si="17"/>
        <v>2.627214285732788</v>
      </c>
      <c r="F58" s="173">
        <f t="shared" si="18"/>
        <v>2.3942489116038446</v>
      </c>
      <c r="G58" s="185">
        <f t="shared" si="19"/>
        <v>2.236551370225019</v>
      </c>
      <c r="H58" s="173">
        <f t="shared" si="20"/>
        <v>2.1212499820505784</v>
      </c>
      <c r="I58" s="185">
        <f t="shared" si="21"/>
        <v>2.032479959084998</v>
      </c>
      <c r="J58" s="173">
        <f t="shared" si="22"/>
        <v>1.9615593212130871</v>
      </c>
      <c r="K58" s="185">
        <f t="shared" si="23"/>
        <v>1.9032996054404288</v>
      </c>
      <c r="L58" s="173">
        <f t="shared" si="24"/>
        <v>1.8543908324211988</v>
      </c>
      <c r="M58" s="185">
        <f t="shared" si="25"/>
        <v>1.8126120934722743</v>
      </c>
      <c r="N58" s="173">
        <f t="shared" si="26"/>
        <v>1.7764120788541671</v>
      </c>
      <c r="O58" s="185">
        <f t="shared" si="27"/>
        <v>1.6914437635819806</v>
      </c>
      <c r="P58" s="173">
        <f t="shared" si="28"/>
        <v>1.5968786120869467</v>
      </c>
      <c r="Q58" s="185">
        <f t="shared" si="29"/>
        <v>1.533665780539712</v>
      </c>
      <c r="R58" s="174">
        <f t="shared" si="30"/>
        <v>1.5233803054385835</v>
      </c>
    </row>
    <row r="59" spans="2:18" x14ac:dyDescent="0.2">
      <c r="B59" s="168">
        <v>600</v>
      </c>
      <c r="C59" s="165">
        <f t="shared" si="31"/>
        <v>3.8570038489159391</v>
      </c>
      <c r="D59" s="184">
        <f t="shared" si="16"/>
        <v>3.0107395381013085</v>
      </c>
      <c r="E59" s="184">
        <f t="shared" si="17"/>
        <v>2.6197536033027431</v>
      </c>
      <c r="F59" s="165">
        <f t="shared" si="18"/>
        <v>2.386784144704317</v>
      </c>
      <c r="G59" s="184">
        <f t="shared" si="19"/>
        <v>2.2290416404552515</v>
      </c>
      <c r="H59" s="165">
        <f t="shared" si="20"/>
        <v>2.1136738182685</v>
      </c>
      <c r="I59" s="184">
        <f t="shared" si="21"/>
        <v>2.024825525544804</v>
      </c>
      <c r="J59" s="165">
        <f t="shared" si="22"/>
        <v>1.9538199967434475</v>
      </c>
      <c r="K59" s="184">
        <f t="shared" si="23"/>
        <v>1.8954717749557115</v>
      </c>
      <c r="L59" s="165">
        <f t="shared" si="24"/>
        <v>1.8464726957511219</v>
      </c>
      <c r="M59" s="184">
        <f t="shared" si="25"/>
        <v>1.8046029834488981</v>
      </c>
      <c r="N59" s="165">
        <f t="shared" si="26"/>
        <v>1.7683120521500364</v>
      </c>
      <c r="O59" s="184">
        <f t="shared" si="27"/>
        <v>1.6830752540366025</v>
      </c>
      <c r="P59" s="165">
        <f t="shared" si="28"/>
        <v>1.5880858291723692</v>
      </c>
      <c r="Q59" s="184">
        <f t="shared" si="29"/>
        <v>1.5244804191949366</v>
      </c>
      <c r="R59" s="166">
        <f t="shared" si="30"/>
        <v>1.5141200298061268</v>
      </c>
    </row>
    <row r="60" spans="2:18" x14ac:dyDescent="0.2">
      <c r="B60" s="172">
        <v>800</v>
      </c>
      <c r="C60" s="173">
        <f t="shared" si="31"/>
        <v>3.853108862635827</v>
      </c>
      <c r="D60" s="185">
        <f t="shared" si="16"/>
        <v>3.0069783460269321</v>
      </c>
      <c r="E60" s="185">
        <f t="shared" si="17"/>
        <v>2.616032913348723</v>
      </c>
      <c r="F60" s="173">
        <f t="shared" si="18"/>
        <v>2.3830614862326627</v>
      </c>
      <c r="G60" s="185">
        <f t="shared" si="19"/>
        <v>2.2252964648045492</v>
      </c>
      <c r="H60" s="173">
        <f t="shared" si="20"/>
        <v>2.1098953046373805</v>
      </c>
      <c r="I60" s="185">
        <f t="shared" si="21"/>
        <v>2.0210076846806975</v>
      </c>
      <c r="J60" s="173">
        <f t="shared" si="22"/>
        <v>1.9499594559528026</v>
      </c>
      <c r="K60" s="185">
        <f t="shared" si="23"/>
        <v>1.8915666713861841</v>
      </c>
      <c r="L60" s="173">
        <f t="shared" si="24"/>
        <v>1.842522079285196</v>
      </c>
      <c r="M60" s="185">
        <f t="shared" si="25"/>
        <v>1.8006064747273689</v>
      </c>
      <c r="N60" s="173">
        <f t="shared" si="26"/>
        <v>1.7642696372648496</v>
      </c>
      <c r="O60" s="185">
        <f t="shared" si="27"/>
        <v>1.6788970287124056</v>
      </c>
      <c r="P60" s="173">
        <f t="shared" si="28"/>
        <v>1.5836922223250227</v>
      </c>
      <c r="Q60" s="185">
        <f t="shared" si="29"/>
        <v>1.5198866444409567</v>
      </c>
      <c r="R60" s="174">
        <f t="shared" si="30"/>
        <v>1.509487957479273</v>
      </c>
    </row>
    <row r="61" spans="2:18" x14ac:dyDescent="0.2">
      <c r="B61" s="168">
        <v>1000</v>
      </c>
      <c r="C61" s="165">
        <f t="shared" si="31"/>
        <v>3.8507746681385955</v>
      </c>
      <c r="D61" s="184">
        <f t="shared" si="16"/>
        <v>3.0047246355778658</v>
      </c>
      <c r="E61" s="184">
        <f t="shared" si="17"/>
        <v>2.613803580693618</v>
      </c>
      <c r="F61" s="165">
        <f t="shared" si="18"/>
        <v>2.3808309958597729</v>
      </c>
      <c r="G61" s="184">
        <f t="shared" si="19"/>
        <v>2.2230524524675825</v>
      </c>
      <c r="H61" s="165">
        <f t="shared" si="20"/>
        <v>2.1076312504773362</v>
      </c>
      <c r="I61" s="184">
        <f t="shared" si="21"/>
        <v>2.0187199721431717</v>
      </c>
      <c r="J61" s="165">
        <f t="shared" si="22"/>
        <v>1.9476460413421519</v>
      </c>
      <c r="K61" s="184">
        <f t="shared" si="23"/>
        <v>1.8892264190513233</v>
      </c>
      <c r="L61" s="165">
        <f t="shared" si="24"/>
        <v>1.8401544028743606</v>
      </c>
      <c r="M61" s="184">
        <f t="shared" si="25"/>
        <v>1.7982111316797484</v>
      </c>
      <c r="N61" s="165">
        <f t="shared" si="26"/>
        <v>1.76184660539685</v>
      </c>
      <c r="O61" s="184">
        <f t="shared" si="27"/>
        <v>1.6763920009155135</v>
      </c>
      <c r="P61" s="165">
        <f t="shared" si="28"/>
        <v>1.5810569065884235</v>
      </c>
      <c r="Q61" s="184">
        <f t="shared" si="29"/>
        <v>1.5171299547023471</v>
      </c>
      <c r="R61" s="166">
        <f t="shared" si="30"/>
        <v>1.5067080123696392</v>
      </c>
    </row>
    <row r="62" spans="2:18" ht="13.5" thickBot="1" x14ac:dyDescent="0.25">
      <c r="B62" s="175">
        <v>10000</v>
      </c>
      <c r="C62" s="176">
        <f t="shared" si="31"/>
        <v>3.8423889008672738</v>
      </c>
      <c r="D62" s="187">
        <f t="shared" si="16"/>
        <v>2.9966298939990406</v>
      </c>
      <c r="E62" s="187">
        <f t="shared" si="17"/>
        <v>2.6057970722909158</v>
      </c>
      <c r="F62" s="176">
        <f t="shared" si="18"/>
        <v>2.3728204636736896</v>
      </c>
      <c r="G62" s="187">
        <f t="shared" si="19"/>
        <v>2.2149931674074903</v>
      </c>
      <c r="H62" s="176">
        <f t="shared" si="20"/>
        <v>2.0994995703450687</v>
      </c>
      <c r="I62" s="187">
        <f t="shared" si="21"/>
        <v>2.0105027334329679</v>
      </c>
      <c r="J62" s="176">
        <f t="shared" si="22"/>
        <v>1.9393357607030464</v>
      </c>
      <c r="K62" s="187">
        <f t="shared" si="23"/>
        <v>1.8808188951409863</v>
      </c>
      <c r="L62" s="176">
        <f t="shared" si="24"/>
        <v>1.831647421921065</v>
      </c>
      <c r="M62" s="187">
        <f t="shared" si="25"/>
        <v>1.7896037256739938</v>
      </c>
      <c r="N62" s="176">
        <f t="shared" si="26"/>
        <v>1.7531386063962677</v>
      </c>
      <c r="O62" s="187">
        <f t="shared" si="27"/>
        <v>1.667385601175071</v>
      </c>
      <c r="P62" s="176">
        <f t="shared" si="28"/>
        <v>1.5715747551151011</v>
      </c>
      <c r="Q62" s="187">
        <f t="shared" si="29"/>
        <v>1.5072027327138022</v>
      </c>
      <c r="R62" s="177">
        <f t="shared" si="30"/>
        <v>1.4966952982230823</v>
      </c>
    </row>
  </sheetData>
  <mergeCells count="1">
    <mergeCell ref="C9:R9"/>
  </mergeCells>
  <phoneticPr fontId="5" type="noConversion"/>
  <pageMargins left="0.78740157499999996" right="0.78740157499999996" top="0.984251969" bottom="0.984251969"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B1" workbookViewId="0">
      <selection activeCell="L44" sqref="L44"/>
    </sheetView>
  </sheetViews>
  <sheetFormatPr baseColWidth="10" defaultRowHeight="12.75" x14ac:dyDescent="0.2"/>
  <cols>
    <col min="1" max="1" width="4" customWidth="1"/>
    <col min="2" max="2" width="21.140625" customWidth="1"/>
    <col min="3" max="3" width="17.140625" customWidth="1"/>
    <col min="4" max="4" width="19.7109375" customWidth="1"/>
    <col min="5" max="5" width="17.85546875" customWidth="1"/>
    <col min="6" max="6" width="23.7109375" customWidth="1"/>
    <col min="7" max="7" width="19.7109375" customWidth="1"/>
    <col min="8" max="8" width="22.7109375" bestFit="1" customWidth="1"/>
  </cols>
  <sheetData>
    <row r="1" spans="1:8" ht="18" customHeight="1" x14ac:dyDescent="0.25">
      <c r="B1" s="10" t="s">
        <v>8</v>
      </c>
      <c r="C1" s="11"/>
      <c r="D1" s="12" t="s">
        <v>436</v>
      </c>
      <c r="E1" s="11"/>
      <c r="F1" s="61"/>
    </row>
    <row r="2" spans="1:8" ht="18" customHeight="1" x14ac:dyDescent="0.25">
      <c r="B2" s="10" t="s">
        <v>16</v>
      </c>
      <c r="C2" s="11"/>
      <c r="D2" s="12" t="s">
        <v>437</v>
      </c>
      <c r="E2" s="11"/>
      <c r="F2" s="61"/>
    </row>
    <row r="3" spans="1:8" ht="18" customHeight="1" x14ac:dyDescent="0.2">
      <c r="B3" s="10" t="s">
        <v>17</v>
      </c>
      <c r="C3" s="11"/>
      <c r="D3" s="10" t="s">
        <v>18</v>
      </c>
      <c r="E3" s="11"/>
      <c r="F3" s="61"/>
    </row>
    <row r="4" spans="1:8" ht="18" customHeight="1" x14ac:dyDescent="0.2">
      <c r="B4" s="10" t="s">
        <v>19</v>
      </c>
      <c r="C4" s="11"/>
      <c r="D4" s="612" t="s">
        <v>438</v>
      </c>
      <c r="E4" s="640"/>
      <c r="F4" s="600"/>
    </row>
    <row r="5" spans="1:8" ht="40.5" customHeight="1" x14ac:dyDescent="0.2">
      <c r="B5" s="13" t="s">
        <v>20</v>
      </c>
      <c r="C5" s="611" t="s">
        <v>87</v>
      </c>
      <c r="D5" s="635"/>
      <c r="E5" s="635"/>
      <c r="F5" s="600"/>
    </row>
    <row r="6" spans="1:8" ht="15.75" x14ac:dyDescent="0.25">
      <c r="B6" s="13" t="s">
        <v>118</v>
      </c>
      <c r="C6" s="657" t="s">
        <v>117</v>
      </c>
      <c r="D6" s="658"/>
      <c r="E6" s="658"/>
      <c r="F6" s="658"/>
    </row>
    <row r="7" spans="1:8" ht="13.5" thickBot="1" x14ac:dyDescent="0.25">
      <c r="B7" s="192"/>
      <c r="C7" s="192"/>
      <c r="D7" s="192"/>
      <c r="H7" s="22"/>
    </row>
    <row r="8" spans="1:8" ht="13.5" thickBot="1" x14ac:dyDescent="0.25">
      <c r="A8" s="200"/>
      <c r="B8" s="209" t="s">
        <v>96</v>
      </c>
      <c r="C8" s="204" t="s">
        <v>97</v>
      </c>
      <c r="D8" s="208" t="s">
        <v>98</v>
      </c>
      <c r="E8" s="263"/>
      <c r="F8" s="268" t="s">
        <v>119</v>
      </c>
      <c r="G8" s="269"/>
      <c r="H8" s="265">
        <v>0.05</v>
      </c>
    </row>
    <row r="9" spans="1:8" ht="13.5" thickBot="1" x14ac:dyDescent="0.25">
      <c r="A9" s="200"/>
      <c r="B9" s="205">
        <v>4</v>
      </c>
      <c r="C9" s="201">
        <v>2</v>
      </c>
      <c r="D9" s="201">
        <v>2</v>
      </c>
      <c r="E9" s="263"/>
      <c r="F9" s="270" t="s">
        <v>120</v>
      </c>
      <c r="G9" s="271"/>
      <c r="H9" s="266">
        <v>2</v>
      </c>
    </row>
    <row r="10" spans="1:8" ht="13.5" thickBot="1" x14ac:dyDescent="0.25">
      <c r="A10" s="200"/>
      <c r="B10" s="206">
        <v>2</v>
      </c>
      <c r="C10" s="202">
        <v>1</v>
      </c>
      <c r="D10" s="202">
        <v>1</v>
      </c>
      <c r="E10" s="263"/>
      <c r="F10" s="270" t="s">
        <v>121</v>
      </c>
      <c r="G10" s="271"/>
      <c r="H10" s="267">
        <v>12</v>
      </c>
    </row>
    <row r="11" spans="1:8" ht="15.75" customHeight="1" thickBot="1" x14ac:dyDescent="0.4">
      <c r="A11" s="200"/>
      <c r="B11" s="205">
        <v>1</v>
      </c>
      <c r="C11" s="201">
        <v>4</v>
      </c>
      <c r="D11" s="201">
        <v>6</v>
      </c>
      <c r="E11" s="263"/>
      <c r="F11" s="262" t="s">
        <v>123</v>
      </c>
      <c r="G11" s="264"/>
      <c r="H11" s="261" t="s">
        <v>122</v>
      </c>
    </row>
    <row r="12" spans="1:8" x14ac:dyDescent="0.2">
      <c r="A12" s="200"/>
      <c r="B12" s="206">
        <v>5</v>
      </c>
      <c r="C12" s="202">
        <v>7</v>
      </c>
      <c r="D12" s="202">
        <v>4</v>
      </c>
    </row>
    <row r="13" spans="1:8" ht="13.5" thickBot="1" x14ac:dyDescent="0.25">
      <c r="A13" s="200"/>
      <c r="B13" s="207">
        <v>2</v>
      </c>
      <c r="C13" s="203">
        <v>5</v>
      </c>
      <c r="D13" s="203">
        <v>7</v>
      </c>
    </row>
    <row r="15" spans="1:8" ht="13.5" thickBot="1" x14ac:dyDescent="0.25">
      <c r="B15" s="38" t="s">
        <v>99</v>
      </c>
      <c r="C15" s="199"/>
      <c r="D15" s="199"/>
      <c r="E15" s="199"/>
      <c r="F15" s="199"/>
      <c r="G15" s="199"/>
      <c r="H15" s="199"/>
    </row>
    <row r="16" spans="1:8" ht="13.5" thickBot="1" x14ac:dyDescent="0.25">
      <c r="A16" s="17"/>
      <c r="B16" s="210" t="s">
        <v>100</v>
      </c>
      <c r="C16" s="219" t="s">
        <v>101</v>
      </c>
      <c r="D16" s="211" t="s">
        <v>12</v>
      </c>
      <c r="E16" s="220" t="s">
        <v>6</v>
      </c>
      <c r="F16" s="218" t="s">
        <v>102</v>
      </c>
      <c r="G16" s="199"/>
      <c r="H16" s="199"/>
    </row>
    <row r="17" spans="1:8" x14ac:dyDescent="0.2">
      <c r="A17" s="17"/>
      <c r="B17" s="212" t="s">
        <v>96</v>
      </c>
      <c r="C17" s="245">
        <f>COUNT(B9:B13)</f>
        <v>5</v>
      </c>
      <c r="D17" s="246">
        <f>SUM(B9:B13)</f>
        <v>14</v>
      </c>
      <c r="E17" s="247">
        <f>AVERAGE(B9:B13)</f>
        <v>2.8</v>
      </c>
      <c r="F17" s="248">
        <f>VAR(B9:B13)</f>
        <v>2.6999999999999993</v>
      </c>
      <c r="G17" s="199"/>
      <c r="H17" s="199"/>
    </row>
    <row r="18" spans="1:8" x14ac:dyDescent="0.2">
      <c r="A18" s="17"/>
      <c r="B18" s="213" t="s">
        <v>97</v>
      </c>
      <c r="C18" s="249">
        <f>COUNT(C9:C13)</f>
        <v>5</v>
      </c>
      <c r="D18" s="250">
        <f>SUM(C9:C13)</f>
        <v>19</v>
      </c>
      <c r="E18" s="251">
        <f>AVERAGE(C9:C13)</f>
        <v>3.8</v>
      </c>
      <c r="F18" s="252">
        <f>VAR(C9:C13)</f>
        <v>5.6999999999999993</v>
      </c>
      <c r="G18" s="199"/>
      <c r="H18" s="199"/>
    </row>
    <row r="19" spans="1:8" ht="13.5" thickBot="1" x14ac:dyDescent="0.25">
      <c r="A19" s="17"/>
      <c r="B19" s="214" t="s">
        <v>98</v>
      </c>
      <c r="C19" s="253">
        <f>COUNT(D9:D13)</f>
        <v>5</v>
      </c>
      <c r="D19" s="254">
        <f>SUM(D9:D13)</f>
        <v>20</v>
      </c>
      <c r="E19" s="255">
        <f>AVERAGE(D9:D13)</f>
        <v>4</v>
      </c>
      <c r="F19" s="256">
        <f>VAR(D9:D13)</f>
        <v>6.5</v>
      </c>
      <c r="G19" s="199"/>
      <c r="H19" s="199"/>
    </row>
    <row r="20" spans="1:8" x14ac:dyDescent="0.2">
      <c r="B20" s="199"/>
      <c r="C20" s="199"/>
      <c r="D20" s="199"/>
      <c r="E20" s="199"/>
      <c r="F20" s="199"/>
      <c r="G20" s="199"/>
      <c r="H20" s="199"/>
    </row>
    <row r="21" spans="1:8" ht="13.5" thickBot="1" x14ac:dyDescent="0.25">
      <c r="B21" s="224" t="s">
        <v>103</v>
      </c>
      <c r="C21" s="215"/>
      <c r="D21" s="215"/>
      <c r="E21" s="215"/>
      <c r="F21" s="215"/>
      <c r="G21" s="215"/>
      <c r="H21" s="215"/>
    </row>
    <row r="22" spans="1:8" ht="39" thickBot="1" x14ac:dyDescent="0.25">
      <c r="A22" s="17"/>
      <c r="B22" s="216" t="s">
        <v>104</v>
      </c>
      <c r="C22" s="222" t="s">
        <v>112</v>
      </c>
      <c r="D22" s="223" t="s">
        <v>105</v>
      </c>
      <c r="E22" s="217" t="s">
        <v>106</v>
      </c>
      <c r="F22" s="222" t="s">
        <v>107</v>
      </c>
      <c r="G22" s="222" t="s">
        <v>108</v>
      </c>
      <c r="H22" s="221" t="s">
        <v>109</v>
      </c>
    </row>
    <row r="23" spans="1:8" x14ac:dyDescent="0.2">
      <c r="A23" s="17"/>
      <c r="B23" s="225" t="s">
        <v>110</v>
      </c>
      <c r="C23" s="226"/>
      <c r="D23" s="227"/>
      <c r="E23" s="228"/>
      <c r="F23" s="228"/>
      <c r="G23" s="228"/>
      <c r="H23" s="226"/>
    </row>
    <row r="24" spans="1:8" x14ac:dyDescent="0.2">
      <c r="A24" s="17"/>
      <c r="B24" s="243" t="s">
        <v>113</v>
      </c>
      <c r="C24" s="230">
        <v>4.1333333333333258</v>
      </c>
      <c r="D24" s="231">
        <v>2</v>
      </c>
      <c r="E24" s="232">
        <v>2.0666666666666629</v>
      </c>
      <c r="F24" s="233">
        <v>0.41610738255033486</v>
      </c>
      <c r="G24" s="234">
        <v>0.66877150299557531</v>
      </c>
      <c r="H24" s="258">
        <f>_xlfn.F.INV.RT(0.05,D24,D25)</f>
        <v>3.8852938346523942</v>
      </c>
    </row>
    <row r="25" spans="1:8" ht="13.5" thickBot="1" x14ac:dyDescent="0.25">
      <c r="A25" s="17"/>
      <c r="B25" s="244" t="s">
        <v>114</v>
      </c>
      <c r="C25" s="235">
        <v>59.6</v>
      </c>
      <c r="D25" s="236">
        <v>12</v>
      </c>
      <c r="E25" s="237">
        <v>4.9666666666666659</v>
      </c>
      <c r="F25" s="238"/>
      <c r="G25" s="238"/>
      <c r="H25" s="257" t="s">
        <v>439</v>
      </c>
    </row>
    <row r="26" spans="1:8" ht="13.5" thickBot="1" x14ac:dyDescent="0.25">
      <c r="A26" s="17"/>
      <c r="B26" s="229" t="s">
        <v>111</v>
      </c>
      <c r="C26" s="239">
        <v>63.73333333333332</v>
      </c>
      <c r="D26" s="240">
        <v>14</v>
      </c>
      <c r="E26" s="241"/>
      <c r="F26" s="239"/>
      <c r="G26" s="239"/>
      <c r="H26" s="242"/>
    </row>
    <row r="29" spans="1:8" x14ac:dyDescent="0.2">
      <c r="B29" s="38" t="s">
        <v>41</v>
      </c>
    </row>
    <row r="30" spans="1:8" x14ac:dyDescent="0.2">
      <c r="B30" s="199" t="s">
        <v>115</v>
      </c>
    </row>
    <row r="32" spans="1:8" x14ac:dyDescent="0.2">
      <c r="B32" s="38" t="s">
        <v>9</v>
      </c>
    </row>
    <row r="33" spans="2:3" x14ac:dyDescent="0.2">
      <c r="B33" s="656" t="str">
        <f>IF(F24&gt;H24,"Nullhypothese abgelehnt","Nullhypothese angenommen")</f>
        <v>Nullhypothese angenommen</v>
      </c>
      <c r="C33" s="656"/>
    </row>
  </sheetData>
  <mergeCells count="4">
    <mergeCell ref="D4:F4"/>
    <mergeCell ref="C5:F5"/>
    <mergeCell ref="B33:C33"/>
    <mergeCell ref="C6:F6"/>
  </mergeCells>
  <phoneticPr fontId="5" type="noConversion"/>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33"/>
  <sheetViews>
    <sheetView topLeftCell="B1" workbookViewId="0">
      <selection activeCell="B10" sqref="B10"/>
    </sheetView>
  </sheetViews>
  <sheetFormatPr baseColWidth="10" defaultRowHeight="12.75" x14ac:dyDescent="0.2"/>
  <cols>
    <col min="1" max="1" width="2.42578125" customWidth="1"/>
    <col min="2" max="2" width="21.140625" customWidth="1"/>
    <col min="3" max="3" width="17.140625" customWidth="1"/>
    <col min="4" max="4" width="19.7109375" customWidth="1"/>
    <col min="5" max="5" width="17.85546875" customWidth="1"/>
    <col min="6" max="6" width="19.140625" customWidth="1"/>
    <col min="7" max="7" width="19.7109375" customWidth="1"/>
    <col min="8" max="8" width="20.140625" customWidth="1"/>
  </cols>
  <sheetData>
    <row r="1" spans="1:63" ht="18" customHeight="1" x14ac:dyDescent="0.25">
      <c r="B1" s="10" t="s">
        <v>8</v>
      </c>
      <c r="C1" s="11"/>
      <c r="D1" s="12" t="s">
        <v>441</v>
      </c>
      <c r="E1" s="11"/>
      <c r="F1" s="61"/>
    </row>
    <row r="2" spans="1:63" ht="18" customHeight="1" x14ac:dyDescent="0.25">
      <c r="B2" s="10" t="s">
        <v>16</v>
      </c>
      <c r="C2" s="11"/>
      <c r="D2" s="12" t="s">
        <v>441</v>
      </c>
      <c r="E2" s="11"/>
      <c r="F2" s="61"/>
    </row>
    <row r="3" spans="1:63" ht="18" customHeight="1" x14ac:dyDescent="0.2">
      <c r="B3" s="10" t="s">
        <v>17</v>
      </c>
      <c r="C3" s="11"/>
      <c r="D3" s="10" t="s">
        <v>18</v>
      </c>
      <c r="E3" s="11"/>
      <c r="F3" s="61"/>
    </row>
    <row r="4" spans="1:63" ht="18" customHeight="1" x14ac:dyDescent="0.2">
      <c r="B4" s="10" t="s">
        <v>19</v>
      </c>
      <c r="C4" s="11"/>
      <c r="D4" s="612" t="s">
        <v>443</v>
      </c>
      <c r="E4" s="640"/>
      <c r="F4" s="600"/>
    </row>
    <row r="5" spans="1:63" ht="40.5" customHeight="1" x14ac:dyDescent="0.2">
      <c r="B5" s="13" t="s">
        <v>20</v>
      </c>
      <c r="C5" s="611" t="s">
        <v>87</v>
      </c>
      <c r="D5" s="635"/>
      <c r="E5" s="635"/>
      <c r="F5" s="600"/>
    </row>
    <row r="6" spans="1:63" ht="15.75" x14ac:dyDescent="0.25">
      <c r="B6" s="13" t="s">
        <v>118</v>
      </c>
      <c r="C6" s="657" t="s">
        <v>117</v>
      </c>
      <c r="D6" s="658"/>
      <c r="E6" s="658"/>
      <c r="F6" s="658"/>
    </row>
    <row r="7" spans="1:63" x14ac:dyDescent="0.2">
      <c r="B7" s="1"/>
      <c r="C7" s="1"/>
      <c r="D7" s="1"/>
      <c r="H7" s="1"/>
    </row>
    <row r="8" spans="1:63" s="580" customFormat="1" x14ac:dyDescent="0.2">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s="580" customFormat="1" ht="15.75" x14ac:dyDescent="0.25">
      <c r="A9"/>
      <c r="B9" s="260" t="s">
        <v>582</v>
      </c>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s="580" customFormat="1" x14ac:dyDescent="0.2">
      <c r="A10"/>
      <c r="B10"/>
      <c r="C10"/>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s="580" customFormat="1" ht="15.75" customHeight="1" x14ac:dyDescent="0.2">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s="580" customFormat="1" x14ac:dyDescent="0.2">
      <c r="A12"/>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s="580" customFormat="1" x14ac:dyDescent="0.2">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s="580" customFormat="1" x14ac:dyDescent="0.2">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s="580" customFormat="1" x14ac:dyDescent="0.2">
      <c r="A15"/>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s="580" customForma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s="580" customFormat="1" x14ac:dyDescent="0.2">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s="580" customFormat="1" x14ac:dyDescent="0.2">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s="580" customForma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s="580" customFormat="1" x14ac:dyDescent="0.2">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s="580" customFormat="1" x14ac:dyDescent="0.2">
      <c r="A2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s="580" customFormat="1" x14ac:dyDescent="0.2">
      <c r="A22"/>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s="580" customFormat="1" x14ac:dyDescent="0.2">
      <c r="A23"/>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s="580" customFormat="1" x14ac:dyDescent="0.2">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s="580" customFormat="1" x14ac:dyDescent="0.2">
      <c r="A25"/>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s="580" customFormat="1" x14ac:dyDescent="0.2">
      <c r="A26"/>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s="580" customFormat="1" x14ac:dyDescent="0.2">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s="580" customFormat="1" x14ac:dyDescent="0.2">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s="580" customFormat="1" x14ac:dyDescent="0.2">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s="580" customFormat="1" x14ac:dyDescent="0.2">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s="580" customFormat="1" x14ac:dyDescent="0.2">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s="580" customFormat="1" x14ac:dyDescent="0.2">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s="580" customFormat="1" x14ac:dyDescent="0.2">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sheetData>
  <mergeCells count="3">
    <mergeCell ref="D4:F4"/>
    <mergeCell ref="C5:F5"/>
    <mergeCell ref="C6:F6"/>
  </mergeCells>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7"/>
  <sheetViews>
    <sheetView topLeftCell="B1" workbookViewId="0">
      <selection activeCell="C23" sqref="C23:D23"/>
    </sheetView>
  </sheetViews>
  <sheetFormatPr baseColWidth="10" defaultRowHeight="12.75" x14ac:dyDescent="0.2"/>
  <cols>
    <col min="1" max="1" width="4.42578125" customWidth="1"/>
    <col min="2" max="2" width="24.7109375" customWidth="1"/>
    <col min="3" max="3" width="14.5703125" customWidth="1"/>
    <col min="4" max="4" width="15" customWidth="1"/>
    <col min="6" max="6" width="25.7109375" customWidth="1"/>
    <col min="7" max="7" width="15.5703125" customWidth="1"/>
    <col min="8" max="8" width="14.7109375" customWidth="1"/>
  </cols>
  <sheetData>
    <row r="1" spans="1:9" ht="18" customHeight="1" x14ac:dyDescent="0.2">
      <c r="B1" s="62" t="s">
        <v>8</v>
      </c>
      <c r="C1" s="439"/>
      <c r="D1" s="440" t="s">
        <v>195</v>
      </c>
      <c r="E1" s="441"/>
      <c r="F1" s="441"/>
      <c r="G1" s="441"/>
      <c r="H1" s="441"/>
      <c r="I1" s="189"/>
    </row>
    <row r="2" spans="1:9" ht="18" customHeight="1" x14ac:dyDescent="0.2">
      <c r="B2" s="62" t="s">
        <v>16</v>
      </c>
      <c r="C2" s="439"/>
      <c r="D2" s="440" t="s">
        <v>195</v>
      </c>
      <c r="E2" s="441"/>
      <c r="F2" s="441"/>
      <c r="G2" s="441"/>
      <c r="H2" s="441"/>
      <c r="I2" s="189"/>
    </row>
    <row r="3" spans="1:9" ht="18" customHeight="1" x14ac:dyDescent="0.2">
      <c r="B3" s="62" t="s">
        <v>17</v>
      </c>
      <c r="C3" s="439"/>
      <c r="D3" s="62" t="s">
        <v>18</v>
      </c>
      <c r="E3" s="441"/>
      <c r="F3" s="441"/>
      <c r="G3" s="441"/>
      <c r="H3" s="441"/>
      <c r="I3" s="189"/>
    </row>
    <row r="4" spans="1:9" ht="18" customHeight="1" x14ac:dyDescent="0.2">
      <c r="B4" s="62" t="s">
        <v>19</v>
      </c>
      <c r="C4" s="439"/>
      <c r="D4" s="650" t="s">
        <v>197</v>
      </c>
      <c r="E4" s="651"/>
      <c r="F4" s="651"/>
      <c r="G4" s="651"/>
      <c r="H4" s="651"/>
      <c r="I4" s="144"/>
    </row>
    <row r="5" spans="1:9" ht="44.25" customHeight="1" x14ac:dyDescent="0.2">
      <c r="B5" s="13" t="s">
        <v>1</v>
      </c>
      <c r="C5" s="11"/>
      <c r="D5" s="379"/>
      <c r="E5" s="289"/>
      <c r="F5" s="289"/>
      <c r="G5" s="289"/>
      <c r="H5" s="289"/>
      <c r="I5" s="144"/>
    </row>
    <row r="6" spans="1:9" ht="18" customHeight="1" x14ac:dyDescent="0.2">
      <c r="B6" s="13" t="s">
        <v>20</v>
      </c>
      <c r="C6" s="611" t="s">
        <v>196</v>
      </c>
      <c r="D6" s="600"/>
      <c r="E6" s="600"/>
      <c r="F6" s="600"/>
      <c r="G6" s="600"/>
      <c r="H6" s="600"/>
      <c r="I6" s="144"/>
    </row>
    <row r="8" spans="1:9" ht="13.5" thickBot="1" x14ac:dyDescent="0.25">
      <c r="G8" s="22"/>
      <c r="H8" s="22"/>
    </row>
    <row r="9" spans="1:9" ht="31.5" customHeight="1" thickBot="1" x14ac:dyDescent="0.25">
      <c r="B9" s="17"/>
      <c r="C9" s="405" t="s">
        <v>201</v>
      </c>
      <c r="D9" s="406" t="s">
        <v>202</v>
      </c>
      <c r="F9" s="75"/>
      <c r="G9" s="412" t="s">
        <v>201</v>
      </c>
      <c r="H9" s="406" t="s">
        <v>202</v>
      </c>
    </row>
    <row r="10" spans="1:9" ht="13.5" thickBot="1" x14ac:dyDescent="0.25">
      <c r="B10" s="75"/>
      <c r="C10" s="408" t="s">
        <v>199</v>
      </c>
      <c r="D10" s="191" t="s">
        <v>200</v>
      </c>
      <c r="F10" s="413" t="s">
        <v>198</v>
      </c>
      <c r="G10" s="417" t="s">
        <v>199</v>
      </c>
      <c r="H10" s="409" t="s">
        <v>200</v>
      </c>
    </row>
    <row r="11" spans="1:9" x14ac:dyDescent="0.2">
      <c r="A11" s="17"/>
      <c r="B11" s="397">
        <v>38353</v>
      </c>
      <c r="C11" s="398">
        <v>89</v>
      </c>
      <c r="D11" s="399">
        <v>0</v>
      </c>
      <c r="F11" s="414">
        <v>38718</v>
      </c>
      <c r="G11" s="398">
        <v>236</v>
      </c>
      <c r="H11" s="410">
        <v>6</v>
      </c>
    </row>
    <row r="12" spans="1:9" x14ac:dyDescent="0.2">
      <c r="A12" s="17"/>
      <c r="B12" s="400">
        <v>38384</v>
      </c>
      <c r="C12" s="401">
        <v>65</v>
      </c>
      <c r="D12" s="401">
        <v>4</v>
      </c>
      <c r="F12" s="415">
        <v>38749</v>
      </c>
      <c r="G12" s="401">
        <v>1221</v>
      </c>
      <c r="H12" s="411">
        <v>17</v>
      </c>
    </row>
    <row r="13" spans="1:9" x14ac:dyDescent="0.2">
      <c r="A13" s="17"/>
      <c r="B13" s="397">
        <v>38412</v>
      </c>
      <c r="C13" s="399">
        <v>198</v>
      </c>
      <c r="D13" s="399">
        <v>65</v>
      </c>
      <c r="F13" s="414">
        <v>38777</v>
      </c>
      <c r="G13" s="399">
        <v>1563</v>
      </c>
      <c r="H13" s="410">
        <v>456</v>
      </c>
    </row>
    <row r="14" spans="1:9" x14ac:dyDescent="0.2">
      <c r="A14" s="17"/>
      <c r="B14" s="400">
        <v>38443</v>
      </c>
      <c r="C14" s="401">
        <v>358</v>
      </c>
      <c r="D14" s="401">
        <v>38</v>
      </c>
      <c r="F14" s="415">
        <v>38808</v>
      </c>
      <c r="G14" s="401">
        <v>2682</v>
      </c>
      <c r="H14" s="411">
        <v>544</v>
      </c>
    </row>
    <row r="15" spans="1:9" x14ac:dyDescent="0.2">
      <c r="A15" s="17"/>
      <c r="B15" s="397">
        <v>38473</v>
      </c>
      <c r="C15" s="399">
        <v>287</v>
      </c>
      <c r="D15" s="399">
        <v>48</v>
      </c>
      <c r="F15" s="414">
        <v>38838</v>
      </c>
      <c r="G15" s="399">
        <v>4569</v>
      </c>
      <c r="H15" s="410">
        <v>349</v>
      </c>
    </row>
    <row r="16" spans="1:9" x14ac:dyDescent="0.2">
      <c r="A16" s="17"/>
      <c r="B16" s="400">
        <v>38504</v>
      </c>
      <c r="C16" s="401">
        <v>896</v>
      </c>
      <c r="D16" s="401">
        <v>25</v>
      </c>
      <c r="F16" s="415">
        <v>38869</v>
      </c>
      <c r="G16" s="401">
        <v>6848</v>
      </c>
      <c r="H16" s="411">
        <v>854</v>
      </c>
    </row>
    <row r="17" spans="1:8" x14ac:dyDescent="0.2">
      <c r="A17" s="17"/>
      <c r="B17" s="397">
        <v>38534</v>
      </c>
      <c r="C17" s="399">
        <v>965</v>
      </c>
      <c r="D17" s="399">
        <v>89</v>
      </c>
      <c r="F17" s="414">
        <v>38899</v>
      </c>
      <c r="G17" s="399">
        <v>8463</v>
      </c>
      <c r="H17" s="410">
        <v>427</v>
      </c>
    </row>
    <row r="18" spans="1:8" x14ac:dyDescent="0.2">
      <c r="A18" s="17"/>
      <c r="B18" s="400">
        <v>38565</v>
      </c>
      <c r="C18" s="401">
        <v>735</v>
      </c>
      <c r="D18" s="401">
        <v>198</v>
      </c>
      <c r="F18" s="415">
        <v>38930</v>
      </c>
      <c r="G18" s="401">
        <v>10157</v>
      </c>
      <c r="H18" s="411">
        <v>337</v>
      </c>
    </row>
    <row r="19" spans="1:8" x14ac:dyDescent="0.2">
      <c r="A19" s="17"/>
      <c r="B19" s="397">
        <v>38596</v>
      </c>
      <c r="C19" s="399">
        <v>1398</v>
      </c>
      <c r="D19" s="399">
        <v>376</v>
      </c>
      <c r="F19" s="414">
        <v>38961</v>
      </c>
      <c r="G19" s="399">
        <v>11837</v>
      </c>
      <c r="H19" s="410">
        <v>899</v>
      </c>
    </row>
    <row r="20" spans="1:8" x14ac:dyDescent="0.2">
      <c r="A20" s="17"/>
      <c r="B20" s="400">
        <v>38626</v>
      </c>
      <c r="C20" s="401">
        <v>653</v>
      </c>
      <c r="D20" s="401">
        <v>234</v>
      </c>
      <c r="F20" s="415">
        <v>38991</v>
      </c>
      <c r="G20" s="401">
        <v>12987</v>
      </c>
      <c r="H20" s="411">
        <v>1011</v>
      </c>
    </row>
    <row r="21" spans="1:8" x14ac:dyDescent="0.2">
      <c r="A21" s="17"/>
      <c r="B21" s="397">
        <v>38657</v>
      </c>
      <c r="C21" s="399">
        <v>498</v>
      </c>
      <c r="D21" s="399">
        <v>76</v>
      </c>
      <c r="F21" s="414">
        <v>39022</v>
      </c>
      <c r="G21" s="399">
        <v>13739</v>
      </c>
      <c r="H21" s="410">
        <v>720</v>
      </c>
    </row>
    <row r="22" spans="1:8" ht="13.5" thickBot="1" x14ac:dyDescent="0.25">
      <c r="A22" s="17"/>
      <c r="B22" s="407">
        <v>38687</v>
      </c>
      <c r="C22" s="403">
        <v>1673</v>
      </c>
      <c r="D22" s="403">
        <v>456</v>
      </c>
      <c r="F22" s="407">
        <v>39052</v>
      </c>
      <c r="G22" s="403">
        <v>14376</v>
      </c>
      <c r="H22" s="403">
        <v>1069</v>
      </c>
    </row>
    <row r="23" spans="1:8" ht="16.5" customHeight="1" thickBot="1" x14ac:dyDescent="0.25">
      <c r="A23" s="17"/>
      <c r="B23" s="423" t="s">
        <v>203</v>
      </c>
      <c r="C23" s="661">
        <f>CORREL(C11:C22,D11:D22)</f>
        <v>0.85629167444072396</v>
      </c>
      <c r="D23" s="662"/>
      <c r="E23" s="26"/>
      <c r="F23" s="423" t="s">
        <v>203</v>
      </c>
      <c r="G23" s="661">
        <f>CORREL(G11:G22,H11:H22)</f>
        <v>0.78667109831217386</v>
      </c>
      <c r="H23" s="662"/>
    </row>
    <row r="24" spans="1:8" ht="18.75" customHeight="1" thickBot="1" x14ac:dyDescent="0.25">
      <c r="A24" s="17"/>
      <c r="B24" s="422" t="s">
        <v>204</v>
      </c>
      <c r="C24" s="663">
        <f>FISHER(C23)</f>
        <v>1.2792751623416674</v>
      </c>
      <c r="D24" s="664"/>
      <c r="E24" s="26"/>
      <c r="F24" s="422" t="s">
        <v>204</v>
      </c>
      <c r="G24" s="663">
        <f>FISHER(G23)</f>
        <v>1.0626371658303713</v>
      </c>
      <c r="H24" s="664"/>
    </row>
    <row r="25" spans="1:8" x14ac:dyDescent="0.2">
      <c r="A25" s="1"/>
      <c r="B25" s="420" t="s">
        <v>375</v>
      </c>
      <c r="D25" s="419"/>
      <c r="E25" s="5"/>
      <c r="F25" s="421" t="s">
        <v>376</v>
      </c>
      <c r="G25" s="419"/>
      <c r="H25" s="419"/>
    </row>
    <row r="26" spans="1:8" ht="13.5" thickBot="1" x14ac:dyDescent="0.25"/>
    <row r="27" spans="1:8" ht="26.25" thickBot="1" x14ac:dyDescent="0.25">
      <c r="C27" s="405" t="s">
        <v>201</v>
      </c>
      <c r="D27" s="406" t="s">
        <v>202</v>
      </c>
      <c r="G27" s="405" t="s">
        <v>201</v>
      </c>
      <c r="H27" s="406" t="s">
        <v>202</v>
      </c>
    </row>
    <row r="28" spans="1:8" ht="13.5" thickBot="1" x14ac:dyDescent="0.25">
      <c r="B28" s="75"/>
      <c r="C28" s="408" t="s">
        <v>199</v>
      </c>
      <c r="D28" s="191" t="s">
        <v>200</v>
      </c>
      <c r="F28" s="22"/>
      <c r="G28" s="416" t="s">
        <v>199</v>
      </c>
      <c r="H28" s="191" t="s">
        <v>200</v>
      </c>
    </row>
    <row r="29" spans="1:8" x14ac:dyDescent="0.2">
      <c r="A29" s="17"/>
      <c r="B29" s="397">
        <v>39083</v>
      </c>
      <c r="C29" s="398">
        <v>15739</v>
      </c>
      <c r="D29" s="399">
        <v>1070</v>
      </c>
      <c r="E29" s="24"/>
      <c r="F29" s="397">
        <v>39448</v>
      </c>
      <c r="G29" s="398">
        <v>22786</v>
      </c>
      <c r="H29" s="399">
        <v>1421</v>
      </c>
    </row>
    <row r="30" spans="1:8" x14ac:dyDescent="0.2">
      <c r="A30" s="17"/>
      <c r="B30" s="400">
        <v>39114</v>
      </c>
      <c r="C30" s="401">
        <v>16123</v>
      </c>
      <c r="D30" s="401">
        <v>967</v>
      </c>
      <c r="E30" s="24"/>
      <c r="F30" s="400">
        <v>39479</v>
      </c>
      <c r="G30" s="401">
        <v>23784</v>
      </c>
      <c r="H30" s="401">
        <v>1508</v>
      </c>
    </row>
    <row r="31" spans="1:8" x14ac:dyDescent="0.2">
      <c r="A31" s="17"/>
      <c r="B31" s="397">
        <v>39142</v>
      </c>
      <c r="C31" s="399">
        <v>16548</v>
      </c>
      <c r="D31" s="399">
        <v>1401</v>
      </c>
      <c r="E31" s="24"/>
      <c r="F31" s="397">
        <v>39508</v>
      </c>
      <c r="G31" s="399">
        <v>24574</v>
      </c>
      <c r="H31" s="399">
        <v>1876</v>
      </c>
    </row>
    <row r="32" spans="1:8" x14ac:dyDescent="0.2">
      <c r="A32" s="17"/>
      <c r="B32" s="400">
        <v>39173</v>
      </c>
      <c r="C32" s="401">
        <v>17352</v>
      </c>
      <c r="D32" s="401">
        <v>1076</v>
      </c>
      <c r="E32" s="24"/>
      <c r="F32" s="400">
        <v>39539</v>
      </c>
      <c r="G32" s="401">
        <v>25111</v>
      </c>
      <c r="H32" s="401">
        <v>1948</v>
      </c>
    </row>
    <row r="33" spans="1:8" x14ac:dyDescent="0.2">
      <c r="A33" s="17"/>
      <c r="B33" s="397">
        <v>39203</v>
      </c>
      <c r="C33" s="399">
        <v>17986</v>
      </c>
      <c r="D33" s="399">
        <v>1563</v>
      </c>
      <c r="E33" s="24"/>
      <c r="F33" s="397">
        <v>39569</v>
      </c>
      <c r="G33" s="399">
        <v>25789</v>
      </c>
      <c r="H33" s="399">
        <v>2094</v>
      </c>
    </row>
    <row r="34" spans="1:8" x14ac:dyDescent="0.2">
      <c r="A34" s="17"/>
      <c r="B34" s="400">
        <v>39234</v>
      </c>
      <c r="C34" s="401">
        <v>18234</v>
      </c>
      <c r="D34" s="401">
        <v>1485</v>
      </c>
      <c r="E34" s="24"/>
      <c r="F34" s="400">
        <v>39600</v>
      </c>
      <c r="G34" s="401">
        <v>26948</v>
      </c>
      <c r="H34" s="401">
        <v>2134</v>
      </c>
    </row>
    <row r="35" spans="1:8" x14ac:dyDescent="0.2">
      <c r="A35" s="17"/>
      <c r="B35" s="397">
        <v>39264</v>
      </c>
      <c r="C35" s="399">
        <v>18769</v>
      </c>
      <c r="D35" s="399">
        <v>1367</v>
      </c>
      <c r="E35" s="24"/>
      <c r="F35" s="397">
        <v>39630</v>
      </c>
      <c r="G35" s="399">
        <v>15635</v>
      </c>
      <c r="H35" s="399">
        <v>1673</v>
      </c>
    </row>
    <row r="36" spans="1:8" x14ac:dyDescent="0.2">
      <c r="A36" s="17"/>
      <c r="B36" s="400">
        <v>39295</v>
      </c>
      <c r="C36" s="401">
        <v>19736</v>
      </c>
      <c r="D36" s="401">
        <v>1138</v>
      </c>
      <c r="E36" s="24"/>
      <c r="F36" s="400">
        <v>39661</v>
      </c>
      <c r="G36" s="401">
        <v>10157</v>
      </c>
      <c r="H36" s="401">
        <v>337</v>
      </c>
    </row>
    <row r="37" spans="1:8" x14ac:dyDescent="0.2">
      <c r="A37" s="17"/>
      <c r="B37" s="397">
        <v>39326</v>
      </c>
      <c r="C37" s="399">
        <v>20333</v>
      </c>
      <c r="D37" s="399">
        <v>1352</v>
      </c>
      <c r="E37" s="24"/>
      <c r="F37" s="397">
        <v>39692</v>
      </c>
      <c r="G37" s="399">
        <v>11837</v>
      </c>
      <c r="H37" s="399">
        <v>899</v>
      </c>
    </row>
    <row r="38" spans="1:8" x14ac:dyDescent="0.2">
      <c r="A38" s="17"/>
      <c r="B38" s="400">
        <v>39356</v>
      </c>
      <c r="C38" s="401">
        <v>20987</v>
      </c>
      <c r="D38" s="401">
        <v>1343</v>
      </c>
      <c r="E38" s="24"/>
      <c r="F38" s="400">
        <v>39722</v>
      </c>
      <c r="G38" s="401">
        <v>12987</v>
      </c>
      <c r="H38" s="401">
        <v>1011</v>
      </c>
    </row>
    <row r="39" spans="1:8" x14ac:dyDescent="0.2">
      <c r="A39" s="17"/>
      <c r="B39" s="397">
        <v>39387</v>
      </c>
      <c r="C39" s="399">
        <v>21323</v>
      </c>
      <c r="D39" s="399">
        <v>1430</v>
      </c>
      <c r="E39" s="24"/>
      <c r="F39" s="397">
        <v>39753</v>
      </c>
      <c r="G39" s="399">
        <v>13739</v>
      </c>
      <c r="H39" s="399">
        <v>720</v>
      </c>
    </row>
    <row r="40" spans="1:8" ht="13.5" thickBot="1" x14ac:dyDescent="0.25">
      <c r="A40" s="17"/>
      <c r="B40" s="407">
        <v>39417</v>
      </c>
      <c r="C40" s="403">
        <v>21999</v>
      </c>
      <c r="D40" s="403">
        <v>1375</v>
      </c>
      <c r="E40" s="24"/>
      <c r="F40" s="407">
        <v>39783</v>
      </c>
      <c r="G40" s="403">
        <v>14376</v>
      </c>
      <c r="H40" s="403">
        <v>1069</v>
      </c>
    </row>
    <row r="41" spans="1:8" ht="18" customHeight="1" thickBot="1" x14ac:dyDescent="0.25">
      <c r="A41" s="17"/>
      <c r="B41" s="423" t="s">
        <v>203</v>
      </c>
      <c r="C41" s="661">
        <f>CORREL(C29:C40,D29:D40)</f>
        <v>0.44987926016960583</v>
      </c>
      <c r="D41" s="662"/>
      <c r="E41" s="24"/>
      <c r="F41" s="423" t="s">
        <v>203</v>
      </c>
      <c r="G41" s="661">
        <f>CORREL(G29:G40,H29:H40)</f>
        <v>0.90305595003747119</v>
      </c>
      <c r="H41" s="662"/>
    </row>
    <row r="42" spans="1:8" ht="21" customHeight="1" thickBot="1" x14ac:dyDescent="0.25">
      <c r="A42" s="17"/>
      <c r="B42" s="422" t="s">
        <v>204</v>
      </c>
      <c r="C42" s="663">
        <f>FISHER(C41)</f>
        <v>0.48454889100033888</v>
      </c>
      <c r="D42" s="664"/>
      <c r="E42" s="24"/>
      <c r="F42" s="422" t="s">
        <v>204</v>
      </c>
      <c r="G42" s="663">
        <f>FISHER(G41)</f>
        <v>1.488541130125931</v>
      </c>
      <c r="H42" s="663"/>
    </row>
    <row r="43" spans="1:8" x14ac:dyDescent="0.2">
      <c r="B43" s="129" t="s">
        <v>372</v>
      </c>
      <c r="F43" s="129" t="s">
        <v>373</v>
      </c>
    </row>
    <row r="45" spans="1:8" ht="13.5" thickBot="1" x14ac:dyDescent="0.25"/>
    <row r="46" spans="1:8" ht="13.5" thickBot="1" x14ac:dyDescent="0.25">
      <c r="A46" s="17"/>
      <c r="B46" s="659" t="s">
        <v>206</v>
      </c>
      <c r="C46" s="614"/>
      <c r="D46" s="427"/>
      <c r="E46" s="144"/>
      <c r="F46" s="144"/>
      <c r="G46" s="144"/>
      <c r="H46" s="144"/>
    </row>
    <row r="47" spans="1:8" x14ac:dyDescent="0.2">
      <c r="A47" s="17"/>
      <c r="B47" s="424" t="s">
        <v>205</v>
      </c>
      <c r="C47" s="425">
        <f>C24</f>
        <v>1.2792751623416674</v>
      </c>
      <c r="D47" s="428"/>
      <c r="E47" s="144"/>
      <c r="F47" s="144"/>
      <c r="G47" s="144"/>
      <c r="H47" s="144"/>
    </row>
    <row r="48" spans="1:8" x14ac:dyDescent="0.2">
      <c r="A48" s="17"/>
      <c r="B48" s="430" t="s">
        <v>399</v>
      </c>
      <c r="C48" s="431">
        <f>G24</f>
        <v>1.0626371658303713</v>
      </c>
      <c r="D48" s="429"/>
    </row>
    <row r="49" spans="1:8" x14ac:dyDescent="0.2">
      <c r="A49" s="17"/>
      <c r="B49" s="424" t="s">
        <v>398</v>
      </c>
      <c r="C49" s="426">
        <f>C42</f>
        <v>0.48454889100033888</v>
      </c>
      <c r="D49" s="429"/>
    </row>
    <row r="50" spans="1:8" ht="13.5" thickBot="1" x14ac:dyDescent="0.25">
      <c r="A50" s="17"/>
      <c r="B50" s="432" t="s">
        <v>397</v>
      </c>
      <c r="C50" s="433">
        <f>G42</f>
        <v>1.488541130125931</v>
      </c>
      <c r="D50" s="429"/>
    </row>
    <row r="51" spans="1:8" ht="15.75" thickBot="1" x14ac:dyDescent="0.3">
      <c r="A51" s="17"/>
      <c r="B51" s="434" t="s">
        <v>6</v>
      </c>
      <c r="C51" s="435">
        <f>AVERAGE(C47:C50)</f>
        <v>1.0787505873245773</v>
      </c>
      <c r="D51" s="429"/>
    </row>
    <row r="53" spans="1:8" ht="15" x14ac:dyDescent="0.25">
      <c r="A53" s="17"/>
      <c r="B53" s="436" t="s">
        <v>203</v>
      </c>
      <c r="C53" s="437">
        <f>FISHERINV(C51)</f>
        <v>0.79273531150815624</v>
      </c>
    </row>
    <row r="54" spans="1:8" ht="13.5" thickBot="1" x14ac:dyDescent="0.25">
      <c r="A54" s="17"/>
      <c r="B54" s="438" t="s">
        <v>374</v>
      </c>
      <c r="C54" s="22"/>
      <c r="D54" s="53"/>
    </row>
    <row r="56" spans="1:8" x14ac:dyDescent="0.2">
      <c r="B56" s="38" t="s">
        <v>41</v>
      </c>
    </row>
    <row r="57" spans="1:8" ht="67.5" customHeight="1" x14ac:dyDescent="0.2">
      <c r="B57" s="660" t="s">
        <v>207</v>
      </c>
      <c r="C57" s="660"/>
      <c r="D57" s="660"/>
      <c r="E57" s="660"/>
      <c r="F57" s="660"/>
      <c r="G57" s="660"/>
      <c r="H57" s="660"/>
    </row>
  </sheetData>
  <mergeCells count="12">
    <mergeCell ref="D4:H4"/>
    <mergeCell ref="C6:H6"/>
    <mergeCell ref="B46:C46"/>
    <mergeCell ref="B57:H57"/>
    <mergeCell ref="G23:H23"/>
    <mergeCell ref="C23:D23"/>
    <mergeCell ref="C24:D24"/>
    <mergeCell ref="G24:H24"/>
    <mergeCell ref="C42:D42"/>
    <mergeCell ref="G42:H42"/>
    <mergeCell ref="C41:D41"/>
    <mergeCell ref="G41:H41"/>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3</xdr:col>
                <xdr:colOff>47625</xdr:colOff>
                <xdr:row>4</xdr:row>
                <xdr:rowOff>38100</xdr:rowOff>
              </from>
              <to>
                <xdr:col>4</xdr:col>
                <xdr:colOff>9525</xdr:colOff>
                <xdr:row>4</xdr:row>
                <xdr:rowOff>466725</xdr:rowOff>
              </to>
            </anchor>
          </objectPr>
        </oleObject>
      </mc:Choice>
      <mc:Fallback>
        <oleObject progId="Equation.3" shapeId="20481"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7"/>
  <sheetViews>
    <sheetView topLeftCell="B1" workbookViewId="0">
      <selection activeCell="C23" sqref="C23:D23"/>
    </sheetView>
  </sheetViews>
  <sheetFormatPr baseColWidth="10" defaultRowHeight="12.75" x14ac:dyDescent="0.2"/>
  <cols>
    <col min="1" max="1" width="4.28515625" customWidth="1"/>
    <col min="2" max="2" width="25.28515625" customWidth="1"/>
    <col min="3" max="3" width="14" customWidth="1"/>
    <col min="4" max="4" width="15.140625" customWidth="1"/>
    <col min="5" max="5" width="14.85546875" customWidth="1"/>
    <col min="6" max="6" width="24.5703125" customWidth="1"/>
    <col min="7" max="7" width="13.42578125" customWidth="1"/>
    <col min="8" max="8" width="13.7109375" customWidth="1"/>
  </cols>
  <sheetData>
    <row r="1" spans="1:8" ht="18" customHeight="1" x14ac:dyDescent="0.2">
      <c r="B1" s="62" t="s">
        <v>8</v>
      </c>
      <c r="C1" s="439"/>
      <c r="D1" s="440" t="s">
        <v>208</v>
      </c>
      <c r="E1" s="441"/>
      <c r="F1" s="441"/>
      <c r="G1" s="441"/>
      <c r="H1" s="441"/>
    </row>
    <row r="2" spans="1:8" ht="18" customHeight="1" x14ac:dyDescent="0.2">
      <c r="B2" s="62" t="s">
        <v>16</v>
      </c>
      <c r="C2" s="439"/>
      <c r="D2" s="440" t="s">
        <v>208</v>
      </c>
      <c r="E2" s="441"/>
      <c r="F2" s="441"/>
      <c r="G2" s="441"/>
      <c r="H2" s="441"/>
    </row>
    <row r="3" spans="1:8" ht="18" customHeight="1" x14ac:dyDescent="0.2">
      <c r="B3" s="62" t="s">
        <v>17</v>
      </c>
      <c r="C3" s="439"/>
      <c r="D3" s="62" t="s">
        <v>18</v>
      </c>
      <c r="E3" s="441"/>
      <c r="F3" s="441"/>
      <c r="G3" s="441"/>
      <c r="H3" s="441"/>
    </row>
    <row r="4" spans="1:8" ht="18" customHeight="1" x14ac:dyDescent="0.2">
      <c r="B4" s="62" t="s">
        <v>19</v>
      </c>
      <c r="C4" s="439"/>
      <c r="D4" s="650" t="s">
        <v>210</v>
      </c>
      <c r="E4" s="651"/>
      <c r="F4" s="651"/>
      <c r="G4" s="651"/>
      <c r="H4" s="651"/>
    </row>
    <row r="5" spans="1:8" ht="41.25" customHeight="1" x14ac:dyDescent="0.2">
      <c r="B5" s="13" t="s">
        <v>1</v>
      </c>
      <c r="C5" s="11"/>
      <c r="D5" s="379"/>
      <c r="E5" s="289"/>
      <c r="F5" s="289"/>
      <c r="G5" s="289"/>
      <c r="H5" s="289"/>
    </row>
    <row r="6" spans="1:8" ht="18" customHeight="1" x14ac:dyDescent="0.2">
      <c r="B6" s="13" t="s">
        <v>20</v>
      </c>
      <c r="C6" s="611" t="s">
        <v>209</v>
      </c>
      <c r="D6" s="600"/>
      <c r="E6" s="600"/>
      <c r="F6" s="600"/>
      <c r="G6" s="600"/>
      <c r="H6" s="600"/>
    </row>
    <row r="8" spans="1:8" ht="13.5" thickBot="1" x14ac:dyDescent="0.25"/>
    <row r="9" spans="1:8" ht="26.25" thickBot="1" x14ac:dyDescent="0.25">
      <c r="B9" s="17"/>
      <c r="C9" s="405" t="s">
        <v>201</v>
      </c>
      <c r="D9" s="406" t="s">
        <v>202</v>
      </c>
      <c r="F9" s="75"/>
      <c r="G9" s="412" t="s">
        <v>201</v>
      </c>
      <c r="H9" s="406" t="s">
        <v>202</v>
      </c>
    </row>
    <row r="10" spans="1:8" ht="13.5" thickBot="1" x14ac:dyDescent="0.25">
      <c r="B10" s="75"/>
      <c r="C10" s="408" t="s">
        <v>199</v>
      </c>
      <c r="D10" s="191" t="s">
        <v>200</v>
      </c>
      <c r="F10" s="413" t="s">
        <v>198</v>
      </c>
      <c r="G10" s="417" t="s">
        <v>199</v>
      </c>
      <c r="H10" s="409" t="s">
        <v>200</v>
      </c>
    </row>
    <row r="11" spans="1:8" x14ac:dyDescent="0.2">
      <c r="A11" s="17"/>
      <c r="B11" s="397">
        <v>38353</v>
      </c>
      <c r="C11" s="398">
        <v>89</v>
      </c>
      <c r="D11" s="399">
        <v>0</v>
      </c>
      <c r="F11" s="414">
        <v>38718</v>
      </c>
      <c r="G11" s="398">
        <v>236</v>
      </c>
      <c r="H11" s="410">
        <v>6</v>
      </c>
    </row>
    <row r="12" spans="1:8" x14ac:dyDescent="0.2">
      <c r="A12" s="17"/>
      <c r="B12" s="400">
        <v>38384</v>
      </c>
      <c r="C12" s="401">
        <v>65</v>
      </c>
      <c r="D12" s="401">
        <v>4</v>
      </c>
      <c r="F12" s="415">
        <v>38749</v>
      </c>
      <c r="G12" s="401">
        <v>1221</v>
      </c>
      <c r="H12" s="411">
        <v>17</v>
      </c>
    </row>
    <row r="13" spans="1:8" x14ac:dyDescent="0.2">
      <c r="A13" s="17"/>
      <c r="B13" s="397">
        <v>38412</v>
      </c>
      <c r="C13" s="399">
        <v>198</v>
      </c>
      <c r="D13" s="399">
        <v>65</v>
      </c>
      <c r="F13" s="414">
        <v>38777</v>
      </c>
      <c r="G13" s="399">
        <v>1563</v>
      </c>
      <c r="H13" s="410">
        <v>456</v>
      </c>
    </row>
    <row r="14" spans="1:8" x14ac:dyDescent="0.2">
      <c r="A14" s="17"/>
      <c r="B14" s="400">
        <v>38443</v>
      </c>
      <c r="C14" s="401">
        <v>358</v>
      </c>
      <c r="D14" s="401">
        <v>38</v>
      </c>
      <c r="F14" s="415">
        <v>38808</v>
      </c>
      <c r="G14" s="401">
        <v>2682</v>
      </c>
      <c r="H14" s="411">
        <v>544</v>
      </c>
    </row>
    <row r="15" spans="1:8" x14ac:dyDescent="0.2">
      <c r="A15" s="17"/>
      <c r="B15" s="397">
        <v>38473</v>
      </c>
      <c r="C15" s="399">
        <v>287</v>
      </c>
      <c r="D15" s="399">
        <v>48</v>
      </c>
      <c r="F15" s="414">
        <v>38838</v>
      </c>
      <c r="G15" s="399">
        <v>4569</v>
      </c>
      <c r="H15" s="410">
        <v>349</v>
      </c>
    </row>
    <row r="16" spans="1:8" x14ac:dyDescent="0.2">
      <c r="A16" s="17"/>
      <c r="B16" s="400">
        <v>38504</v>
      </c>
      <c r="C16" s="401">
        <v>896</v>
      </c>
      <c r="D16" s="401">
        <v>25</v>
      </c>
      <c r="F16" s="415">
        <v>38869</v>
      </c>
      <c r="G16" s="401">
        <v>6848</v>
      </c>
      <c r="H16" s="411">
        <v>854</v>
      </c>
    </row>
    <row r="17" spans="1:8" x14ac:dyDescent="0.2">
      <c r="A17" s="17"/>
      <c r="B17" s="397">
        <v>38534</v>
      </c>
      <c r="C17" s="399">
        <v>965</v>
      </c>
      <c r="D17" s="399">
        <v>89</v>
      </c>
      <c r="F17" s="414">
        <v>38899</v>
      </c>
      <c r="G17" s="399">
        <v>8463</v>
      </c>
      <c r="H17" s="410">
        <v>427</v>
      </c>
    </row>
    <row r="18" spans="1:8" x14ac:dyDescent="0.2">
      <c r="A18" s="17"/>
      <c r="B18" s="400">
        <v>38565</v>
      </c>
      <c r="C18" s="401">
        <v>735</v>
      </c>
      <c r="D18" s="401">
        <v>198</v>
      </c>
      <c r="F18" s="415">
        <v>38930</v>
      </c>
      <c r="G18" s="401">
        <v>10157</v>
      </c>
      <c r="H18" s="411">
        <v>337</v>
      </c>
    </row>
    <row r="19" spans="1:8" x14ac:dyDescent="0.2">
      <c r="A19" s="17"/>
      <c r="B19" s="397">
        <v>38596</v>
      </c>
      <c r="C19" s="399">
        <v>1398</v>
      </c>
      <c r="D19" s="399">
        <v>376</v>
      </c>
      <c r="F19" s="414">
        <v>38961</v>
      </c>
      <c r="G19" s="399">
        <v>11837</v>
      </c>
      <c r="H19" s="410">
        <v>899</v>
      </c>
    </row>
    <row r="20" spans="1:8" x14ac:dyDescent="0.2">
      <c r="A20" s="17"/>
      <c r="B20" s="400">
        <v>38626</v>
      </c>
      <c r="C20" s="401">
        <v>653</v>
      </c>
      <c r="D20" s="401">
        <v>234</v>
      </c>
      <c r="F20" s="415">
        <v>38991</v>
      </c>
      <c r="G20" s="401">
        <v>12987</v>
      </c>
      <c r="H20" s="411">
        <v>1011</v>
      </c>
    </row>
    <row r="21" spans="1:8" x14ac:dyDescent="0.2">
      <c r="A21" s="17"/>
      <c r="B21" s="397">
        <v>38657</v>
      </c>
      <c r="C21" s="399">
        <v>498</v>
      </c>
      <c r="D21" s="399">
        <v>76</v>
      </c>
      <c r="F21" s="414">
        <v>39022</v>
      </c>
      <c r="G21" s="399">
        <v>13739</v>
      </c>
      <c r="H21" s="410">
        <v>720</v>
      </c>
    </row>
    <row r="22" spans="1:8" ht="13.5" thickBot="1" x14ac:dyDescent="0.25">
      <c r="A22" s="17"/>
      <c r="B22" s="402">
        <v>38687</v>
      </c>
      <c r="C22" s="403">
        <v>1673</v>
      </c>
      <c r="D22" s="403">
        <v>456</v>
      </c>
      <c r="F22" s="407">
        <v>39052</v>
      </c>
      <c r="G22" s="403">
        <v>14376</v>
      </c>
      <c r="H22" s="403">
        <v>1069</v>
      </c>
    </row>
    <row r="23" spans="1:8" ht="13.5" thickBot="1" x14ac:dyDescent="0.25">
      <c r="B23" s="423" t="s">
        <v>203</v>
      </c>
      <c r="C23" s="661">
        <f>CORREL(C11:C22,D11:D22)</f>
        <v>0.85629167444072396</v>
      </c>
      <c r="D23" s="662"/>
      <c r="E23" s="26"/>
      <c r="F23" s="423" t="s">
        <v>203</v>
      </c>
      <c r="G23" s="661">
        <f>CORREL(G11:G22,H11:H22)</f>
        <v>0.78667109831217386</v>
      </c>
      <c r="H23" s="662"/>
    </row>
    <row r="24" spans="1:8" ht="15.75" thickBot="1" x14ac:dyDescent="0.25">
      <c r="B24" s="443" t="s">
        <v>204</v>
      </c>
      <c r="C24" s="663">
        <f>FISHER(C23)</f>
        <v>1.2792751623416674</v>
      </c>
      <c r="D24" s="664"/>
      <c r="E24" s="26"/>
      <c r="F24" s="422" t="s">
        <v>204</v>
      </c>
      <c r="G24" s="663">
        <f>FISHER(G23)</f>
        <v>1.0626371658303713</v>
      </c>
      <c r="H24" s="664"/>
    </row>
    <row r="25" spans="1:8" x14ac:dyDescent="0.2">
      <c r="B25" s="420" t="s">
        <v>375</v>
      </c>
      <c r="D25" s="419"/>
      <c r="E25" s="5"/>
      <c r="F25" s="421" t="s">
        <v>376</v>
      </c>
      <c r="G25" s="419"/>
      <c r="H25" s="419"/>
    </row>
    <row r="26" spans="1:8" ht="13.5" thickBot="1" x14ac:dyDescent="0.25"/>
    <row r="27" spans="1:8" ht="26.25" thickBot="1" x14ac:dyDescent="0.25">
      <c r="C27" s="405" t="s">
        <v>201</v>
      </c>
      <c r="D27" s="406" t="s">
        <v>202</v>
      </c>
      <c r="G27" s="405" t="s">
        <v>201</v>
      </c>
      <c r="H27" s="406" t="s">
        <v>202</v>
      </c>
    </row>
    <row r="28" spans="1:8" ht="13.5" thickBot="1" x14ac:dyDescent="0.25">
      <c r="B28" s="75"/>
      <c r="C28" s="408" t="s">
        <v>199</v>
      </c>
      <c r="D28" s="191" t="s">
        <v>200</v>
      </c>
      <c r="F28" s="22"/>
      <c r="G28" s="416" t="s">
        <v>199</v>
      </c>
      <c r="H28" s="191" t="s">
        <v>200</v>
      </c>
    </row>
    <row r="29" spans="1:8" x14ac:dyDescent="0.2">
      <c r="A29" s="17"/>
      <c r="B29" s="397">
        <v>39083</v>
      </c>
      <c r="C29" s="398">
        <v>15739</v>
      </c>
      <c r="D29" s="399">
        <v>1070</v>
      </c>
      <c r="E29" s="24"/>
      <c r="F29" s="397">
        <v>39448</v>
      </c>
      <c r="G29" s="398">
        <v>22786</v>
      </c>
      <c r="H29" s="399">
        <v>1421</v>
      </c>
    </row>
    <row r="30" spans="1:8" x14ac:dyDescent="0.2">
      <c r="A30" s="17"/>
      <c r="B30" s="400">
        <v>39114</v>
      </c>
      <c r="C30" s="401">
        <v>16123</v>
      </c>
      <c r="D30" s="401">
        <v>967</v>
      </c>
      <c r="E30" s="24"/>
      <c r="F30" s="400">
        <v>39479</v>
      </c>
      <c r="G30" s="401">
        <v>23784</v>
      </c>
      <c r="H30" s="401">
        <v>1508</v>
      </c>
    </row>
    <row r="31" spans="1:8" x14ac:dyDescent="0.2">
      <c r="A31" s="17"/>
      <c r="B31" s="397">
        <v>39142</v>
      </c>
      <c r="C31" s="399">
        <v>16548</v>
      </c>
      <c r="D31" s="399">
        <v>1401</v>
      </c>
      <c r="E31" s="24"/>
      <c r="F31" s="397">
        <v>39508</v>
      </c>
      <c r="G31" s="399">
        <v>24574</v>
      </c>
      <c r="H31" s="399">
        <v>1876</v>
      </c>
    </row>
    <row r="32" spans="1:8" x14ac:dyDescent="0.2">
      <c r="A32" s="17"/>
      <c r="B32" s="400">
        <v>39173</v>
      </c>
      <c r="C32" s="401">
        <v>17352</v>
      </c>
      <c r="D32" s="401">
        <v>1076</v>
      </c>
      <c r="E32" s="24"/>
      <c r="F32" s="400">
        <v>39539</v>
      </c>
      <c r="G32" s="401">
        <v>25111</v>
      </c>
      <c r="H32" s="401">
        <v>1948</v>
      </c>
    </row>
    <row r="33" spans="1:8" x14ac:dyDescent="0.2">
      <c r="A33" s="17"/>
      <c r="B33" s="397">
        <v>39203</v>
      </c>
      <c r="C33" s="399">
        <v>17986</v>
      </c>
      <c r="D33" s="399">
        <v>1563</v>
      </c>
      <c r="E33" s="24"/>
      <c r="F33" s="397">
        <v>39569</v>
      </c>
      <c r="G33" s="399">
        <v>25789</v>
      </c>
      <c r="H33" s="399">
        <v>2094</v>
      </c>
    </row>
    <row r="34" spans="1:8" x14ac:dyDescent="0.2">
      <c r="A34" s="17"/>
      <c r="B34" s="400">
        <v>39234</v>
      </c>
      <c r="C34" s="401">
        <v>18234</v>
      </c>
      <c r="D34" s="401">
        <v>1485</v>
      </c>
      <c r="E34" s="24"/>
      <c r="F34" s="400">
        <v>39600</v>
      </c>
      <c r="G34" s="401">
        <v>26948</v>
      </c>
      <c r="H34" s="401">
        <v>2134</v>
      </c>
    </row>
    <row r="35" spans="1:8" x14ac:dyDescent="0.2">
      <c r="A35" s="17"/>
      <c r="B35" s="397">
        <v>39264</v>
      </c>
      <c r="C35" s="399">
        <v>18769</v>
      </c>
      <c r="D35" s="399">
        <v>1367</v>
      </c>
      <c r="E35" s="24"/>
      <c r="F35" s="397">
        <v>39630</v>
      </c>
      <c r="G35" s="399">
        <v>15635</v>
      </c>
      <c r="H35" s="399">
        <v>1673</v>
      </c>
    </row>
    <row r="36" spans="1:8" x14ac:dyDescent="0.2">
      <c r="A36" s="17"/>
      <c r="B36" s="400">
        <v>39295</v>
      </c>
      <c r="C36" s="401">
        <v>19736</v>
      </c>
      <c r="D36" s="401">
        <v>1138</v>
      </c>
      <c r="E36" s="24"/>
      <c r="F36" s="400">
        <v>39661</v>
      </c>
      <c r="G36" s="401">
        <v>10157</v>
      </c>
      <c r="H36" s="401">
        <v>337</v>
      </c>
    </row>
    <row r="37" spans="1:8" x14ac:dyDescent="0.2">
      <c r="A37" s="17"/>
      <c r="B37" s="397">
        <v>39326</v>
      </c>
      <c r="C37" s="399">
        <v>20333</v>
      </c>
      <c r="D37" s="399">
        <v>1352</v>
      </c>
      <c r="E37" s="24"/>
      <c r="F37" s="397">
        <v>39692</v>
      </c>
      <c r="G37" s="399">
        <v>11837</v>
      </c>
      <c r="H37" s="399">
        <v>899</v>
      </c>
    </row>
    <row r="38" spans="1:8" x14ac:dyDescent="0.2">
      <c r="A38" s="17"/>
      <c r="B38" s="400">
        <v>39356</v>
      </c>
      <c r="C38" s="401">
        <v>20987</v>
      </c>
      <c r="D38" s="401">
        <v>1343</v>
      </c>
      <c r="E38" s="24"/>
      <c r="F38" s="400">
        <v>39722</v>
      </c>
      <c r="G38" s="401">
        <v>12987</v>
      </c>
      <c r="H38" s="401">
        <v>1011</v>
      </c>
    </row>
    <row r="39" spans="1:8" x14ac:dyDescent="0.2">
      <c r="A39" s="17"/>
      <c r="B39" s="397">
        <v>39387</v>
      </c>
      <c r="C39" s="399">
        <v>21323</v>
      </c>
      <c r="D39" s="399">
        <v>1430</v>
      </c>
      <c r="E39" s="24"/>
      <c r="F39" s="397">
        <v>39753</v>
      </c>
      <c r="G39" s="399">
        <v>13739</v>
      </c>
      <c r="H39" s="399">
        <v>720</v>
      </c>
    </row>
    <row r="40" spans="1:8" ht="13.5" thickBot="1" x14ac:dyDescent="0.25">
      <c r="A40" s="17"/>
      <c r="B40" s="402">
        <v>39417</v>
      </c>
      <c r="C40" s="403">
        <v>21999</v>
      </c>
      <c r="D40" s="403">
        <v>1375</v>
      </c>
      <c r="E40" s="24"/>
      <c r="F40" s="407">
        <v>39783</v>
      </c>
      <c r="G40" s="403">
        <v>14376</v>
      </c>
      <c r="H40" s="403">
        <v>1069</v>
      </c>
    </row>
    <row r="41" spans="1:8" ht="13.5" thickBot="1" x14ac:dyDescent="0.25">
      <c r="A41" s="17"/>
      <c r="B41" s="444" t="s">
        <v>203</v>
      </c>
      <c r="C41" s="661">
        <f>CORREL(C29:C40,D29:D40)</f>
        <v>0.44987926016960583</v>
      </c>
      <c r="D41" s="662"/>
      <c r="E41" s="24"/>
      <c r="F41" s="423" t="s">
        <v>203</v>
      </c>
      <c r="G41" s="661">
        <f>CORREL(G29:G40,H29:H40)</f>
        <v>0.90305595003747119</v>
      </c>
      <c r="H41" s="662"/>
    </row>
    <row r="42" spans="1:8" ht="15.75" thickBot="1" x14ac:dyDescent="0.25">
      <c r="A42" s="17"/>
      <c r="B42" s="422" t="s">
        <v>204</v>
      </c>
      <c r="C42" s="663">
        <f>FISHER(C41)</f>
        <v>0.48454889100033888</v>
      </c>
      <c r="D42" s="664"/>
      <c r="E42" s="24"/>
      <c r="F42" s="422" t="s">
        <v>204</v>
      </c>
      <c r="G42" s="663">
        <f>FISHER(G41)</f>
        <v>1.488541130125931</v>
      </c>
      <c r="H42" s="663"/>
    </row>
    <row r="43" spans="1:8" x14ac:dyDescent="0.2">
      <c r="B43" s="129" t="s">
        <v>372</v>
      </c>
      <c r="F43" s="129" t="s">
        <v>373</v>
      </c>
    </row>
    <row r="45" spans="1:8" ht="13.5" thickBot="1" x14ac:dyDescent="0.25"/>
    <row r="46" spans="1:8" ht="13.5" thickBot="1" x14ac:dyDescent="0.25">
      <c r="A46" s="17"/>
      <c r="B46" s="665" t="s">
        <v>206</v>
      </c>
      <c r="C46" s="614"/>
      <c r="D46" s="427"/>
      <c r="E46" s="144"/>
      <c r="F46" s="144"/>
      <c r="G46" s="144"/>
      <c r="H46" s="144"/>
    </row>
    <row r="47" spans="1:8" x14ac:dyDescent="0.2">
      <c r="A47" s="17"/>
      <c r="B47" s="424" t="s">
        <v>205</v>
      </c>
      <c r="C47" s="425">
        <f>C24</f>
        <v>1.2792751623416674</v>
      </c>
      <c r="D47" s="428"/>
      <c r="E47" s="144"/>
      <c r="F47" s="144"/>
      <c r="G47" s="144"/>
      <c r="H47" s="144"/>
    </row>
    <row r="48" spans="1:8" x14ac:dyDescent="0.2">
      <c r="A48" s="17"/>
      <c r="B48" s="430" t="s">
        <v>399</v>
      </c>
      <c r="C48" s="431">
        <f>G24</f>
        <v>1.0626371658303713</v>
      </c>
      <c r="D48" s="429"/>
    </row>
    <row r="49" spans="1:8" x14ac:dyDescent="0.2">
      <c r="A49" s="17"/>
      <c r="B49" s="424" t="s">
        <v>398</v>
      </c>
      <c r="C49" s="426">
        <f>C42</f>
        <v>0.48454889100033888</v>
      </c>
      <c r="D49" s="429"/>
    </row>
    <row r="50" spans="1:8" ht="13.5" thickBot="1" x14ac:dyDescent="0.25">
      <c r="A50" s="17"/>
      <c r="B50" s="445" t="s">
        <v>397</v>
      </c>
      <c r="C50" s="433">
        <f>G42</f>
        <v>1.488541130125931</v>
      </c>
      <c r="D50" s="429"/>
    </row>
    <row r="51" spans="1:8" ht="15.75" thickBot="1" x14ac:dyDescent="0.3">
      <c r="A51" s="17"/>
      <c r="B51" s="446" t="s">
        <v>6</v>
      </c>
      <c r="C51" s="435">
        <f>AVERAGE(C47:C50)</f>
        <v>1.0787505873245773</v>
      </c>
      <c r="D51" s="429"/>
    </row>
    <row r="53" spans="1:8" ht="15" x14ac:dyDescent="0.25">
      <c r="A53" s="17"/>
      <c r="B53" s="436" t="s">
        <v>203</v>
      </c>
      <c r="C53" s="437">
        <f>FISHERINV(C51)</f>
        <v>0.79273531150815624</v>
      </c>
    </row>
    <row r="54" spans="1:8" ht="13.5" thickBot="1" x14ac:dyDescent="0.25">
      <c r="B54" s="438" t="s">
        <v>374</v>
      </c>
      <c r="C54" s="22"/>
      <c r="D54" s="53"/>
    </row>
    <row r="56" spans="1:8" x14ac:dyDescent="0.2">
      <c r="B56" s="38" t="s">
        <v>41</v>
      </c>
    </row>
    <row r="57" spans="1:8" ht="66" customHeight="1" x14ac:dyDescent="0.2">
      <c r="B57" s="660" t="s">
        <v>207</v>
      </c>
      <c r="C57" s="660"/>
      <c r="D57" s="660"/>
      <c r="E57" s="660"/>
      <c r="F57" s="660"/>
      <c r="G57" s="660"/>
      <c r="H57" s="660"/>
    </row>
  </sheetData>
  <mergeCells count="12">
    <mergeCell ref="B57:H57"/>
    <mergeCell ref="C41:D41"/>
    <mergeCell ref="G41:H41"/>
    <mergeCell ref="C42:D42"/>
    <mergeCell ref="G42:H42"/>
    <mergeCell ref="B46:C46"/>
    <mergeCell ref="D4:H4"/>
    <mergeCell ref="C6:H6"/>
    <mergeCell ref="C23:D23"/>
    <mergeCell ref="G23:H23"/>
    <mergeCell ref="C24:D24"/>
    <mergeCell ref="G24:H24"/>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3</xdr:col>
                <xdr:colOff>57150</xdr:colOff>
                <xdr:row>4</xdr:row>
                <xdr:rowOff>19050</xdr:rowOff>
              </from>
              <to>
                <xdr:col>3</xdr:col>
                <xdr:colOff>771525</xdr:colOff>
                <xdr:row>4</xdr:row>
                <xdr:rowOff>438150</xdr:rowOff>
              </to>
            </anchor>
          </objectPr>
        </oleObject>
      </mc:Choice>
      <mc:Fallback>
        <oleObject progId="Equation.3" shapeId="21505"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5"/>
  <sheetViews>
    <sheetView topLeftCell="B1" workbookViewId="0">
      <selection activeCell="B23" sqref="B23"/>
    </sheetView>
  </sheetViews>
  <sheetFormatPr baseColWidth="10" defaultRowHeight="12.75" x14ac:dyDescent="0.2"/>
  <cols>
    <col min="1" max="1" width="4.5703125" customWidth="1"/>
    <col min="2" max="2" width="21.5703125" customWidth="1"/>
    <col min="3" max="3" width="25.28515625" customWidth="1"/>
    <col min="4" max="4" width="16.5703125" customWidth="1"/>
    <col min="5" max="5" width="27.42578125" customWidth="1"/>
    <col min="6" max="6" width="10.5703125" customWidth="1"/>
    <col min="7" max="18" width="7.7109375" customWidth="1"/>
  </cols>
  <sheetData>
    <row r="1" spans="2:19" ht="18" customHeight="1" x14ac:dyDescent="0.25">
      <c r="B1" s="10" t="s">
        <v>8</v>
      </c>
      <c r="C1" s="11"/>
      <c r="D1" s="12" t="s">
        <v>450</v>
      </c>
      <c r="E1" s="11"/>
      <c r="F1" s="61"/>
      <c r="G1" s="5"/>
      <c r="H1" s="5"/>
      <c r="I1" s="5"/>
      <c r="J1" s="5"/>
      <c r="K1" s="5"/>
      <c r="L1" s="5"/>
      <c r="M1" s="5"/>
      <c r="N1" s="5"/>
      <c r="O1" s="5"/>
      <c r="P1" s="5"/>
      <c r="Q1" s="5"/>
      <c r="R1" s="5"/>
    </row>
    <row r="2" spans="2:19" ht="18" customHeight="1" x14ac:dyDescent="0.25">
      <c r="B2" s="10" t="s">
        <v>16</v>
      </c>
      <c r="C2" s="11"/>
      <c r="D2" s="12" t="s">
        <v>450</v>
      </c>
      <c r="E2" s="11"/>
      <c r="F2" s="61"/>
      <c r="G2" s="5"/>
      <c r="H2" s="5"/>
      <c r="I2" s="5"/>
      <c r="J2" s="5"/>
      <c r="K2" s="5"/>
      <c r="L2" s="5"/>
      <c r="M2" s="5"/>
      <c r="N2" s="5"/>
      <c r="O2" s="5"/>
      <c r="P2" s="5"/>
      <c r="Q2" s="5"/>
      <c r="R2" s="5"/>
    </row>
    <row r="3" spans="2:19" ht="18" customHeight="1" x14ac:dyDescent="0.2">
      <c r="B3" s="10" t="s">
        <v>17</v>
      </c>
      <c r="C3" s="11"/>
      <c r="D3" s="10" t="s">
        <v>18</v>
      </c>
      <c r="E3" s="11"/>
      <c r="F3" s="61"/>
      <c r="G3" s="5"/>
      <c r="H3" s="5"/>
      <c r="I3" s="5"/>
      <c r="J3" s="5"/>
      <c r="K3" s="5"/>
      <c r="L3" s="5"/>
      <c r="M3" s="5"/>
      <c r="N3" s="5"/>
      <c r="O3" s="5"/>
      <c r="P3" s="5"/>
      <c r="Q3" s="5"/>
      <c r="R3" s="5"/>
    </row>
    <row r="4" spans="2:19" ht="18" customHeight="1" x14ac:dyDescent="0.2">
      <c r="B4" s="10" t="s">
        <v>19</v>
      </c>
      <c r="C4" s="11"/>
      <c r="D4" s="612" t="s">
        <v>451</v>
      </c>
      <c r="E4" s="640"/>
      <c r="F4" s="600"/>
      <c r="G4" s="5"/>
      <c r="H4" s="5"/>
      <c r="I4" s="5"/>
      <c r="J4" s="5"/>
      <c r="K4" s="5"/>
      <c r="L4" s="5"/>
      <c r="M4" s="5"/>
      <c r="N4" s="5"/>
      <c r="O4" s="5"/>
      <c r="P4" s="5"/>
      <c r="Q4" s="5"/>
      <c r="R4" s="5"/>
    </row>
    <row r="5" spans="2:19" ht="28.5" customHeight="1" x14ac:dyDescent="0.2">
      <c r="B5" s="13" t="s">
        <v>20</v>
      </c>
      <c r="C5" s="611" t="s">
        <v>85</v>
      </c>
      <c r="D5" s="600"/>
      <c r="E5" s="600"/>
      <c r="F5" s="600"/>
      <c r="G5" s="189"/>
      <c r="H5" s="189"/>
      <c r="I5" s="189"/>
      <c r="J5" s="189"/>
      <c r="K5" s="5"/>
      <c r="L5" s="5"/>
      <c r="M5" s="5"/>
      <c r="N5" s="5"/>
      <c r="O5" s="5"/>
      <c r="P5" s="5"/>
      <c r="Q5" s="5"/>
      <c r="R5" s="5"/>
      <c r="S5" s="5"/>
    </row>
    <row r="8" spans="2:19" ht="13.5" thickBot="1" x14ac:dyDescent="0.25">
      <c r="E8" s="192"/>
      <c r="F8" s="192"/>
    </row>
    <row r="9" spans="2:19" ht="18.75" x14ac:dyDescent="0.35">
      <c r="B9" s="133" t="s">
        <v>65</v>
      </c>
      <c r="C9" s="134" t="s">
        <v>66</v>
      </c>
      <c r="D9" s="190"/>
      <c r="E9" s="193" t="s">
        <v>69</v>
      </c>
      <c r="F9" s="191" t="s">
        <v>70</v>
      </c>
    </row>
    <row r="10" spans="2:19" ht="13.5" x14ac:dyDescent="0.25">
      <c r="B10" s="132">
        <v>7</v>
      </c>
      <c r="C10" s="131">
        <v>8</v>
      </c>
      <c r="D10" s="190"/>
      <c r="E10" s="94" t="s">
        <v>94</v>
      </c>
      <c r="F10" s="136">
        <f>_xlfn.VAR.S(B10:B19)</f>
        <v>3.5999999999999974</v>
      </c>
      <c r="G10" s="129" t="s">
        <v>455</v>
      </c>
    </row>
    <row r="11" spans="2:19" ht="14.25" thickBot="1" x14ac:dyDescent="0.3">
      <c r="B11" s="45">
        <v>8</v>
      </c>
      <c r="C11" s="33">
        <v>4</v>
      </c>
      <c r="D11" s="190"/>
      <c r="E11" s="197" t="s">
        <v>95</v>
      </c>
      <c r="F11" s="198">
        <f>_xlfn.VAR.S(C10:C19)</f>
        <v>3.9555555555555579</v>
      </c>
      <c r="G11" s="129" t="s">
        <v>456</v>
      </c>
    </row>
    <row r="12" spans="2:19" x14ac:dyDescent="0.2">
      <c r="B12" s="44">
        <v>8</v>
      </c>
      <c r="C12" s="32">
        <v>8</v>
      </c>
      <c r="D12" s="53"/>
      <c r="E12" s="194"/>
      <c r="F12" s="195"/>
    </row>
    <row r="13" spans="2:19" x14ac:dyDescent="0.2">
      <c r="B13" s="45">
        <v>9</v>
      </c>
      <c r="C13" s="33">
        <v>5</v>
      </c>
      <c r="D13" s="53"/>
      <c r="E13" s="194"/>
      <c r="F13" s="6"/>
    </row>
    <row r="14" spans="2:19" x14ac:dyDescent="0.2">
      <c r="B14" s="44">
        <v>6</v>
      </c>
      <c r="C14" s="32">
        <v>6</v>
      </c>
      <c r="D14" s="53"/>
      <c r="E14" s="194"/>
      <c r="F14" s="6"/>
    </row>
    <row r="15" spans="2:19" x14ac:dyDescent="0.2">
      <c r="B15" s="45">
        <v>8</v>
      </c>
      <c r="C15" s="33">
        <v>9</v>
      </c>
      <c r="D15" s="53"/>
      <c r="E15" s="196"/>
      <c r="F15" s="6"/>
    </row>
    <row r="16" spans="2:19" x14ac:dyDescent="0.2">
      <c r="B16" s="44">
        <v>4</v>
      </c>
      <c r="C16" s="32">
        <v>5</v>
      </c>
      <c r="D16" s="53"/>
      <c r="E16" s="194"/>
      <c r="F16" s="6"/>
    </row>
    <row r="17" spans="2:3" x14ac:dyDescent="0.2">
      <c r="B17" s="45">
        <v>7</v>
      </c>
      <c r="C17" s="33">
        <v>6</v>
      </c>
    </row>
    <row r="18" spans="2:3" x14ac:dyDescent="0.2">
      <c r="B18" s="44">
        <v>6</v>
      </c>
      <c r="C18" s="32">
        <v>3</v>
      </c>
    </row>
    <row r="19" spans="2:3" ht="13.5" thickBot="1" x14ac:dyDescent="0.25">
      <c r="B19" s="46">
        <v>3</v>
      </c>
      <c r="C19" s="56">
        <v>8</v>
      </c>
    </row>
    <row r="21" spans="2:3" x14ac:dyDescent="0.2">
      <c r="B21" s="38" t="s">
        <v>452</v>
      </c>
    </row>
    <row r="22" spans="2:3" x14ac:dyDescent="0.2">
      <c r="B22" s="135">
        <f>_xlfn.F.TEST(B10:B19,C10:C19)</f>
        <v>0.89071980124394745</v>
      </c>
      <c r="C22" s="129" t="s">
        <v>453</v>
      </c>
    </row>
    <row r="24" spans="2:3" x14ac:dyDescent="0.2">
      <c r="B24" s="38" t="s">
        <v>72</v>
      </c>
    </row>
    <row r="25" spans="2:3" x14ac:dyDescent="0.2">
      <c r="B25" t="s">
        <v>454</v>
      </c>
    </row>
  </sheetData>
  <mergeCells count="2">
    <mergeCell ref="D4:F4"/>
    <mergeCell ref="C5:F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topLeftCell="B1" workbookViewId="0">
      <selection activeCell="E11" sqref="E11"/>
    </sheetView>
  </sheetViews>
  <sheetFormatPr baseColWidth="10" defaultRowHeight="12.75" x14ac:dyDescent="0.2"/>
  <cols>
    <col min="1" max="1" width="4.85546875" customWidth="1"/>
    <col min="2" max="2" width="21.85546875" customWidth="1"/>
    <col min="3" max="3" width="22.7109375" customWidth="1"/>
    <col min="4" max="4" width="11.7109375" customWidth="1"/>
    <col min="5" max="5" width="21.28515625" customWidth="1"/>
    <col min="6" max="6" width="21.5703125" customWidth="1"/>
    <col min="7" max="7" width="16.28515625" customWidth="1"/>
    <col min="8" max="8" width="23.28515625" customWidth="1"/>
  </cols>
  <sheetData>
    <row r="1" spans="2:9" ht="18" customHeight="1" x14ac:dyDescent="0.25">
      <c r="B1" s="10" t="s">
        <v>8</v>
      </c>
      <c r="C1" s="11"/>
      <c r="D1" s="12" t="s">
        <v>458</v>
      </c>
      <c r="E1" s="11"/>
      <c r="F1" s="61"/>
    </row>
    <row r="2" spans="2:9" ht="18" customHeight="1" x14ac:dyDescent="0.25">
      <c r="B2" s="10" t="s">
        <v>16</v>
      </c>
      <c r="C2" s="11"/>
      <c r="D2" s="12" t="s">
        <v>437</v>
      </c>
      <c r="E2" s="11"/>
      <c r="F2" s="61"/>
    </row>
    <row r="3" spans="2:9" ht="18" customHeight="1" x14ac:dyDescent="0.2">
      <c r="B3" s="10" t="s">
        <v>17</v>
      </c>
      <c r="C3" s="11"/>
      <c r="D3" s="10" t="s">
        <v>18</v>
      </c>
      <c r="E3" s="11"/>
      <c r="F3" s="61"/>
    </row>
    <row r="4" spans="2:9" ht="18" customHeight="1" x14ac:dyDescent="0.2">
      <c r="B4" s="10" t="s">
        <v>19</v>
      </c>
      <c r="C4" s="11"/>
      <c r="D4" s="612" t="s">
        <v>459</v>
      </c>
      <c r="E4" s="640"/>
      <c r="F4" s="600"/>
    </row>
    <row r="5" spans="2:9" ht="44.25" customHeight="1" x14ac:dyDescent="0.2">
      <c r="B5" s="13" t="s">
        <v>20</v>
      </c>
      <c r="C5" s="611" t="s">
        <v>86</v>
      </c>
      <c r="D5" s="635"/>
      <c r="E5" s="635"/>
      <c r="F5" s="600"/>
    </row>
    <row r="6" spans="2:9" ht="15.75" x14ac:dyDescent="0.25">
      <c r="B6" s="10" t="s">
        <v>118</v>
      </c>
      <c r="C6" s="666" t="s">
        <v>117</v>
      </c>
      <c r="D6" s="667"/>
      <c r="E6" s="667"/>
      <c r="F6" s="272"/>
    </row>
    <row r="7" spans="2:9" ht="13.5" thickBot="1" x14ac:dyDescent="0.25"/>
    <row r="8" spans="2:9" ht="17.100000000000001" customHeight="1" thickBot="1" x14ac:dyDescent="0.25">
      <c r="B8" s="209" t="s">
        <v>96</v>
      </c>
      <c r="C8" s="204" t="s">
        <v>97</v>
      </c>
      <c r="D8" s="208" t="s">
        <v>98</v>
      </c>
      <c r="F8" s="277" t="s">
        <v>124</v>
      </c>
      <c r="G8" s="278"/>
      <c r="H8" s="273" t="s">
        <v>122</v>
      </c>
    </row>
    <row r="9" spans="2:9" ht="17.100000000000001" customHeight="1" thickBot="1" x14ac:dyDescent="0.25">
      <c r="B9" s="205">
        <v>4</v>
      </c>
      <c r="C9" s="201">
        <v>2</v>
      </c>
      <c r="D9" s="201">
        <v>2</v>
      </c>
      <c r="F9" s="279" t="s">
        <v>120</v>
      </c>
      <c r="G9" s="280"/>
      <c r="H9" s="274">
        <v>2</v>
      </c>
    </row>
    <row r="10" spans="2:9" ht="17.100000000000001" customHeight="1" thickBot="1" x14ac:dyDescent="0.25">
      <c r="B10" s="206">
        <v>2</v>
      </c>
      <c r="C10" s="202">
        <v>1</v>
      </c>
      <c r="D10" s="202">
        <v>1</v>
      </c>
      <c r="F10" s="277" t="s">
        <v>121</v>
      </c>
      <c r="G10" s="278"/>
      <c r="H10" s="275">
        <v>12</v>
      </c>
    </row>
    <row r="11" spans="2:9" ht="17.100000000000001" customHeight="1" thickBot="1" x14ac:dyDescent="0.4">
      <c r="B11" s="205">
        <v>1</v>
      </c>
      <c r="C11" s="201">
        <v>4</v>
      </c>
      <c r="D11" s="201">
        <v>6</v>
      </c>
      <c r="F11" s="279" t="s">
        <v>126</v>
      </c>
      <c r="G11" s="280"/>
      <c r="H11" s="56">
        <v>3.89</v>
      </c>
    </row>
    <row r="12" spans="2:9" ht="17.100000000000001" customHeight="1" thickBot="1" x14ac:dyDescent="0.25">
      <c r="B12" s="206">
        <v>5</v>
      </c>
      <c r="C12" s="202">
        <v>7</v>
      </c>
      <c r="D12" s="202">
        <v>4</v>
      </c>
      <c r="E12" s="263"/>
      <c r="F12" s="277" t="s">
        <v>125</v>
      </c>
      <c r="G12" s="281"/>
      <c r="H12" s="276">
        <v>0.41</v>
      </c>
      <c r="I12" s="53"/>
    </row>
    <row r="13" spans="2:9" ht="17.100000000000001" customHeight="1" thickBot="1" x14ac:dyDescent="0.25">
      <c r="B13" s="207">
        <v>2</v>
      </c>
      <c r="C13" s="203">
        <v>5</v>
      </c>
      <c r="D13" s="203">
        <v>7</v>
      </c>
      <c r="E13" s="263"/>
      <c r="F13" s="668" t="s">
        <v>127</v>
      </c>
      <c r="G13" s="669"/>
      <c r="H13" s="282">
        <f>_xlfn.F.DIST.RT(H11,H9,H10)</f>
        <v>4.9857414449464656E-2</v>
      </c>
      <c r="I13" s="129" t="s">
        <v>461</v>
      </c>
    </row>
    <row r="14" spans="2:9" ht="17.25" customHeight="1" thickBot="1" x14ac:dyDescent="0.25">
      <c r="F14" s="670" t="s">
        <v>128</v>
      </c>
      <c r="G14" s="609"/>
      <c r="H14" s="282">
        <f>_xlfn.F.DIST.RT(H12,H9,H10)</f>
        <v>0.67260381328208996</v>
      </c>
      <c r="I14" s="129" t="s">
        <v>462</v>
      </c>
    </row>
    <row r="15" spans="2:9" ht="13.5" thickBot="1" x14ac:dyDescent="0.25">
      <c r="B15" s="38" t="s">
        <v>99</v>
      </c>
      <c r="C15" s="199"/>
      <c r="D15" s="199"/>
      <c r="E15" s="199"/>
      <c r="F15" s="199"/>
      <c r="G15" s="199"/>
      <c r="H15" s="199"/>
    </row>
    <row r="16" spans="2:9" ht="13.5" thickBot="1" x14ac:dyDescent="0.25">
      <c r="B16" s="210" t="s">
        <v>100</v>
      </c>
      <c r="C16" s="219" t="s">
        <v>101</v>
      </c>
      <c r="D16" s="211" t="s">
        <v>12</v>
      </c>
      <c r="E16" s="220" t="s">
        <v>6</v>
      </c>
      <c r="F16" s="218" t="s">
        <v>102</v>
      </c>
      <c r="G16" s="199"/>
      <c r="H16" s="199"/>
    </row>
    <row r="17" spans="2:8" x14ac:dyDescent="0.2">
      <c r="B17" s="212" t="s">
        <v>96</v>
      </c>
      <c r="C17" s="245">
        <f>COUNT(B9:B13)</f>
        <v>5</v>
      </c>
      <c r="D17" s="246">
        <f>SUM(B9:B13)</f>
        <v>14</v>
      </c>
      <c r="E17" s="247">
        <f>AVERAGE(B9:B13)</f>
        <v>2.8</v>
      </c>
      <c r="F17" s="248">
        <f>_xlfn.VAR.S(B9:B13)</f>
        <v>2.6999999999999993</v>
      </c>
      <c r="G17" s="199"/>
      <c r="H17" s="199"/>
    </row>
    <row r="18" spans="2:8" x14ac:dyDescent="0.2">
      <c r="B18" s="213" t="s">
        <v>97</v>
      </c>
      <c r="C18" s="249">
        <f>COUNT(C9:C13)</f>
        <v>5</v>
      </c>
      <c r="D18" s="250">
        <f>SUM(C9:C13)</f>
        <v>19</v>
      </c>
      <c r="E18" s="251">
        <f>AVERAGE(C9:C13)</f>
        <v>3.8</v>
      </c>
      <c r="F18" s="252">
        <f>_xlfn.VAR.S(C9:C13)</f>
        <v>5.6999999999999993</v>
      </c>
      <c r="G18" s="199"/>
      <c r="H18" s="199"/>
    </row>
    <row r="19" spans="2:8" ht="13.5" thickBot="1" x14ac:dyDescent="0.25">
      <c r="B19" s="214" t="s">
        <v>98</v>
      </c>
      <c r="C19" s="253">
        <f>COUNT(D9:D13)</f>
        <v>5</v>
      </c>
      <c r="D19" s="254">
        <f>SUM(D9:D13)</f>
        <v>20</v>
      </c>
      <c r="E19" s="255">
        <f>AVERAGE(D9:D13)</f>
        <v>4</v>
      </c>
      <c r="F19" s="256">
        <f>_xlfn.VAR.S(D9:D13)</f>
        <v>6.5</v>
      </c>
      <c r="G19" s="199"/>
      <c r="H19" s="199"/>
    </row>
    <row r="20" spans="2:8" x14ac:dyDescent="0.2">
      <c r="B20" s="199"/>
      <c r="C20" s="199"/>
      <c r="D20" s="199"/>
      <c r="E20" s="199"/>
      <c r="F20" s="199"/>
      <c r="G20" s="199"/>
      <c r="H20" s="199"/>
    </row>
    <row r="21" spans="2:8" ht="13.5" thickBot="1" x14ac:dyDescent="0.25">
      <c r="B21" s="224" t="s">
        <v>103</v>
      </c>
      <c r="C21" s="215"/>
      <c r="D21" s="215"/>
      <c r="E21" s="215"/>
      <c r="F21" s="215"/>
      <c r="G21" s="215"/>
      <c r="H21" s="215"/>
    </row>
    <row r="22" spans="2:8" ht="26.25" thickBot="1" x14ac:dyDescent="0.25">
      <c r="B22" s="216" t="s">
        <v>104</v>
      </c>
      <c r="C22" s="222" t="s">
        <v>112</v>
      </c>
      <c r="D22" s="223" t="s">
        <v>105</v>
      </c>
      <c r="E22" s="217" t="s">
        <v>106</v>
      </c>
      <c r="F22" s="222" t="s">
        <v>107</v>
      </c>
      <c r="G22" s="222" t="s">
        <v>108</v>
      </c>
      <c r="H22" s="221" t="s">
        <v>109</v>
      </c>
    </row>
    <row r="23" spans="2:8" x14ac:dyDescent="0.2">
      <c r="B23" s="225" t="s">
        <v>110</v>
      </c>
      <c r="C23" s="226"/>
      <c r="D23" s="227"/>
      <c r="E23" s="228"/>
      <c r="F23" s="228"/>
      <c r="G23" s="228"/>
      <c r="H23" s="226"/>
    </row>
    <row r="24" spans="2:8" x14ac:dyDescent="0.2">
      <c r="B24" s="243" t="s">
        <v>113</v>
      </c>
      <c r="C24" s="230">
        <v>4.1333333333333258</v>
      </c>
      <c r="D24" s="231">
        <v>2</v>
      </c>
      <c r="E24" s="232">
        <v>2.0666666666666629</v>
      </c>
      <c r="F24" s="233">
        <v>0.41610738255033486</v>
      </c>
      <c r="G24" s="234">
        <v>0.66877150299557531</v>
      </c>
      <c r="H24" s="258">
        <f>_xlfn.F.INV.RT(0.05,D24,D25)</f>
        <v>3.8852938346523942</v>
      </c>
    </row>
    <row r="25" spans="2:8" ht="13.5" thickBot="1" x14ac:dyDescent="0.25">
      <c r="B25" s="244" t="s">
        <v>114</v>
      </c>
      <c r="C25" s="235">
        <v>59.6</v>
      </c>
      <c r="D25" s="236">
        <v>12</v>
      </c>
      <c r="E25" s="237">
        <v>4.9666666666666659</v>
      </c>
      <c r="F25" s="238"/>
      <c r="G25" s="238"/>
      <c r="H25" s="257" t="s">
        <v>460</v>
      </c>
    </row>
    <row r="26" spans="2:8" ht="13.5" thickBot="1" x14ac:dyDescent="0.25">
      <c r="B26" s="229" t="s">
        <v>111</v>
      </c>
      <c r="C26" s="239">
        <v>63.73333333333332</v>
      </c>
      <c r="D26" s="240">
        <v>14</v>
      </c>
      <c r="E26" s="241"/>
      <c r="F26" s="239"/>
      <c r="G26" s="239"/>
      <c r="H26" s="242"/>
    </row>
    <row r="29" spans="2:8" x14ac:dyDescent="0.2">
      <c r="B29" s="38" t="s">
        <v>41</v>
      </c>
    </row>
    <row r="30" spans="2:8" x14ac:dyDescent="0.2">
      <c r="B30" s="199" t="s">
        <v>129</v>
      </c>
    </row>
    <row r="32" spans="2:8" x14ac:dyDescent="0.2">
      <c r="B32" s="38" t="s">
        <v>9</v>
      </c>
    </row>
    <row r="33" spans="2:3" x14ac:dyDescent="0.2">
      <c r="B33" s="656" t="str">
        <f>IF(H12&gt;H14,"Nullhypothese abgelehnt","Nullhypothese angenommen")</f>
        <v>Nullhypothese angenommen</v>
      </c>
      <c r="C33" s="656"/>
    </row>
  </sheetData>
  <mergeCells count="6">
    <mergeCell ref="D4:F4"/>
    <mergeCell ref="C5:F5"/>
    <mergeCell ref="C6:E6"/>
    <mergeCell ref="B33:C33"/>
    <mergeCell ref="F13:G13"/>
    <mergeCell ref="F14:G14"/>
  </mergeCells>
  <phoneticPr fontId="5" type="noConversion"/>
  <hyperlinks>
    <hyperlink ref="C6:E6" location="'F-Tabelle für Fkrit'!A1" display="F-Tabelle zur Berechnung von Fkrit"/>
  </hyperlinks>
  <pageMargins left="0.78740157499999996" right="0.78740157499999996" top="0.984251969" bottom="0.984251969" header="0.4921259845" footer="0.492125984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4"/>
  <sheetViews>
    <sheetView topLeftCell="B1" workbookViewId="0">
      <selection activeCell="B9" sqref="B9"/>
    </sheetView>
  </sheetViews>
  <sheetFormatPr baseColWidth="10" defaultRowHeight="12.75" x14ac:dyDescent="0.2"/>
  <cols>
    <col min="1" max="1" width="4.85546875" customWidth="1"/>
    <col min="2" max="2" width="21.85546875" customWidth="1"/>
    <col min="3" max="3" width="22.7109375" customWidth="1"/>
    <col min="4" max="4" width="11.7109375" customWidth="1"/>
    <col min="5" max="5" width="21.28515625" customWidth="1"/>
    <col min="6" max="6" width="32.140625" customWidth="1"/>
    <col min="7" max="7" width="12.28515625" customWidth="1"/>
    <col min="8" max="8" width="19.5703125" customWidth="1"/>
  </cols>
  <sheetData>
    <row r="1" spans="2:9" ht="18" customHeight="1" x14ac:dyDescent="0.25">
      <c r="B1" s="10" t="s">
        <v>8</v>
      </c>
      <c r="C1" s="11"/>
      <c r="D1" s="12" t="s">
        <v>463</v>
      </c>
      <c r="E1" s="11"/>
      <c r="F1" s="61"/>
    </row>
    <row r="2" spans="2:9" ht="18" customHeight="1" x14ac:dyDescent="0.25">
      <c r="B2" s="10" t="s">
        <v>16</v>
      </c>
      <c r="C2" s="11"/>
      <c r="D2" s="12" t="s">
        <v>442</v>
      </c>
      <c r="E2" s="11"/>
      <c r="F2" s="61"/>
    </row>
    <row r="3" spans="2:9" ht="18" customHeight="1" x14ac:dyDescent="0.2">
      <c r="B3" s="10" t="s">
        <v>17</v>
      </c>
      <c r="C3" s="11"/>
      <c r="D3" s="10" t="s">
        <v>18</v>
      </c>
      <c r="E3" s="11"/>
      <c r="F3" s="61"/>
    </row>
    <row r="4" spans="2:9" ht="18" customHeight="1" x14ac:dyDescent="0.2">
      <c r="B4" s="10" t="s">
        <v>19</v>
      </c>
      <c r="C4" s="11"/>
      <c r="D4" s="612" t="s">
        <v>464</v>
      </c>
      <c r="E4" s="640"/>
      <c r="F4" s="600"/>
    </row>
    <row r="5" spans="2:9" ht="82.5" customHeight="1" x14ac:dyDescent="0.2">
      <c r="B5" s="13" t="s">
        <v>20</v>
      </c>
      <c r="C5" s="611" t="s">
        <v>465</v>
      </c>
      <c r="D5" s="635"/>
      <c r="E5" s="635"/>
      <c r="F5" s="600"/>
    </row>
    <row r="6" spans="2:9" ht="15.75" x14ac:dyDescent="0.25">
      <c r="B6" s="10" t="s">
        <v>118</v>
      </c>
      <c r="C6" s="666" t="s">
        <v>117</v>
      </c>
      <c r="D6" s="667"/>
      <c r="E6" s="667"/>
      <c r="F6" s="272"/>
    </row>
    <row r="8" spans="2:9" ht="17.100000000000001" customHeight="1" x14ac:dyDescent="0.2"/>
    <row r="9" spans="2:9" ht="17.100000000000001" customHeight="1" x14ac:dyDescent="0.25">
      <c r="B9" s="260" t="s">
        <v>583</v>
      </c>
    </row>
    <row r="10" spans="2:9" ht="17.100000000000001" customHeight="1" x14ac:dyDescent="0.2"/>
    <row r="11" spans="2:9" ht="17.100000000000001" customHeight="1" x14ac:dyDescent="0.2"/>
    <row r="12" spans="2:9" ht="17.100000000000001" customHeight="1" x14ac:dyDescent="0.2">
      <c r="I12" s="53"/>
    </row>
    <row r="13" spans="2:9" ht="17.100000000000001" customHeight="1" x14ac:dyDescent="0.2">
      <c r="I13" s="129"/>
    </row>
    <row r="14" spans="2:9" ht="17.25" customHeight="1" x14ac:dyDescent="0.2">
      <c r="I14" s="129"/>
    </row>
  </sheetData>
  <mergeCells count="3">
    <mergeCell ref="D4:F4"/>
    <mergeCell ref="C5:F5"/>
    <mergeCell ref="C6:E6"/>
  </mergeCells>
  <hyperlinks>
    <hyperlink ref="C6:E6" location="'F-Tabelle für Fkrit'!A1" display="F-Tabelle zur Berechnung von Fkrit"/>
  </hyperlinks>
  <pageMargins left="0.78740157499999996" right="0.78740157499999996" top="0.984251969" bottom="0.984251969" header="0.4921259845" footer="0.4921259845"/>
  <pageSetup paperSize="9" orientation="portrait"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topLeftCell="B1" workbookViewId="0">
      <selection activeCell="E12" sqref="E12:F12"/>
    </sheetView>
  </sheetViews>
  <sheetFormatPr baseColWidth="10" defaultRowHeight="12.75" x14ac:dyDescent="0.2"/>
  <cols>
    <col min="1" max="1" width="4.28515625" customWidth="1"/>
    <col min="2" max="2" width="20.85546875" customWidth="1"/>
    <col min="3" max="3" width="19.140625" customWidth="1"/>
    <col min="4" max="4" width="21" customWidth="1"/>
    <col min="5" max="5" width="14" customWidth="1"/>
  </cols>
  <sheetData>
    <row r="1" spans="1:9" ht="15.75" x14ac:dyDescent="0.25">
      <c r="B1" s="10" t="s">
        <v>8</v>
      </c>
      <c r="C1" s="11"/>
      <c r="D1" s="290" t="s">
        <v>467</v>
      </c>
      <c r="E1" s="289"/>
      <c r="F1" s="289"/>
      <c r="G1" s="289"/>
      <c r="H1" s="289"/>
      <c r="I1" s="289"/>
    </row>
    <row r="2" spans="1:9" ht="15.75" x14ac:dyDescent="0.25">
      <c r="B2" s="10" t="s">
        <v>16</v>
      </c>
      <c r="C2" s="11"/>
      <c r="D2" s="290" t="s">
        <v>467</v>
      </c>
      <c r="E2" s="289"/>
      <c r="F2" s="289"/>
      <c r="G2" s="289"/>
      <c r="H2" s="289"/>
      <c r="I2" s="289"/>
    </row>
    <row r="3" spans="1:9" ht="15" x14ac:dyDescent="0.2">
      <c r="B3" s="10" t="s">
        <v>17</v>
      </c>
      <c r="C3" s="11"/>
      <c r="D3" s="291" t="s">
        <v>18</v>
      </c>
      <c r="E3" s="289"/>
      <c r="F3" s="289"/>
      <c r="G3" s="289"/>
      <c r="H3" s="289"/>
      <c r="I3" s="289"/>
    </row>
    <row r="4" spans="1:9" ht="15" x14ac:dyDescent="0.2">
      <c r="B4" s="10" t="s">
        <v>19</v>
      </c>
      <c r="C4" s="11"/>
      <c r="D4" s="612" t="s">
        <v>468</v>
      </c>
      <c r="E4" s="600"/>
      <c r="F4" s="600"/>
      <c r="G4" s="600"/>
      <c r="H4" s="600"/>
      <c r="I4" s="600"/>
    </row>
    <row r="5" spans="1:9" ht="42" customHeight="1" x14ac:dyDescent="0.2">
      <c r="B5" s="13" t="s">
        <v>20</v>
      </c>
      <c r="C5" s="611" t="s">
        <v>469</v>
      </c>
      <c r="D5" s="600"/>
      <c r="E5" s="600"/>
      <c r="F5" s="600"/>
      <c r="G5" s="600"/>
      <c r="H5" s="600"/>
      <c r="I5" s="600"/>
    </row>
    <row r="6" spans="1:9" s="5" customFormat="1" ht="15.95" customHeight="1" x14ac:dyDescent="0.2">
      <c r="B6" s="538"/>
      <c r="C6" s="539"/>
      <c r="D6" s="189"/>
      <c r="E6" s="189"/>
      <c r="F6" s="189"/>
      <c r="G6" s="189"/>
      <c r="H6" s="189"/>
      <c r="I6" s="189"/>
    </row>
    <row r="7" spans="1:9" s="5" customFormat="1" ht="15.95" customHeight="1" thickBot="1" x14ac:dyDescent="0.25">
      <c r="B7" s="545" t="s">
        <v>470</v>
      </c>
      <c r="C7" s="546"/>
      <c r="D7" s="541"/>
      <c r="E7" s="542"/>
      <c r="F7" s="542"/>
      <c r="G7" s="189"/>
      <c r="H7" s="189"/>
      <c r="I7" s="189"/>
    </row>
    <row r="8" spans="1:9" s="5" customFormat="1" ht="15.95" customHeight="1" thickBot="1" x14ac:dyDescent="0.25">
      <c r="A8" s="19"/>
      <c r="B8" s="522" t="s">
        <v>344</v>
      </c>
      <c r="C8" s="522"/>
      <c r="D8" s="552"/>
      <c r="E8" s="613" t="s">
        <v>343</v>
      </c>
      <c r="F8" s="614"/>
      <c r="G8" s="189"/>
      <c r="H8" s="189"/>
      <c r="I8" s="189"/>
    </row>
    <row r="9" spans="1:9" s="5" customFormat="1" ht="15.95" customHeight="1" x14ac:dyDescent="0.2">
      <c r="A9" s="19"/>
      <c r="B9" s="5" t="s">
        <v>348</v>
      </c>
      <c r="C9" s="539"/>
      <c r="D9" s="543"/>
      <c r="E9" s="615">
        <v>6.8094000000000002E-2</v>
      </c>
      <c r="F9" s="607"/>
      <c r="G9" s="189"/>
      <c r="H9" s="189"/>
      <c r="I9" s="189"/>
    </row>
    <row r="10" spans="1:9" s="5" customFormat="1" ht="15.95" customHeight="1" x14ac:dyDescent="0.2">
      <c r="A10" s="19"/>
      <c r="B10" s="547" t="s">
        <v>349</v>
      </c>
      <c r="C10" s="548"/>
      <c r="D10" s="161"/>
      <c r="E10" s="616">
        <v>9</v>
      </c>
      <c r="F10" s="607"/>
      <c r="G10" s="189"/>
      <c r="H10" s="189"/>
      <c r="I10" s="189"/>
    </row>
    <row r="11" spans="1:9" s="5" customFormat="1" ht="15.95" customHeight="1" thickBot="1" x14ac:dyDescent="0.25">
      <c r="A11" s="19"/>
      <c r="B11" s="5" t="s">
        <v>350</v>
      </c>
      <c r="C11" s="539"/>
      <c r="D11" s="543"/>
      <c r="E11" s="615">
        <v>2</v>
      </c>
      <c r="F11" s="607"/>
      <c r="G11" s="189"/>
      <c r="H11" s="189"/>
      <c r="I11" s="189"/>
    </row>
    <row r="12" spans="1:9" ht="15.75" thickBot="1" x14ac:dyDescent="0.3">
      <c r="B12" s="549" t="s">
        <v>190</v>
      </c>
      <c r="C12" s="550"/>
      <c r="D12" s="551"/>
      <c r="E12" s="671">
        <f>_xlfn.GAMMA.INV(E9,E10,E11)</f>
        <v>10.00001119143718</v>
      </c>
      <c r="F12" s="672"/>
    </row>
    <row r="13" spans="1:9" ht="15" x14ac:dyDescent="0.2">
      <c r="B13" s="538"/>
      <c r="C13" s="555"/>
      <c r="D13" s="539"/>
      <c r="E13" s="581" t="s">
        <v>466</v>
      </c>
      <c r="F13" s="189"/>
    </row>
    <row r="14" spans="1:9" ht="15.75" thickBot="1" x14ac:dyDescent="0.25">
      <c r="B14" s="538"/>
      <c r="C14" s="6"/>
      <c r="D14" s="539"/>
      <c r="E14" s="553"/>
      <c r="F14" s="189"/>
    </row>
    <row r="15" spans="1:9" ht="27.75" customHeight="1" x14ac:dyDescent="0.2">
      <c r="B15" s="383" t="s">
        <v>186</v>
      </c>
      <c r="C15" s="383" t="s">
        <v>187</v>
      </c>
    </row>
    <row r="16" spans="1:9" ht="13.5" thickBot="1" x14ac:dyDescent="0.25">
      <c r="B16" s="384">
        <v>2</v>
      </c>
      <c r="C16" s="381">
        <v>2</v>
      </c>
      <c r="D16" s="342"/>
      <c r="E16" s="135"/>
      <c r="F16" s="135"/>
    </row>
    <row r="17" spans="2:9" ht="13.5" thickBot="1" x14ac:dyDescent="0.25">
      <c r="B17" s="70"/>
      <c r="C17" s="70"/>
      <c r="D17" s="342"/>
      <c r="E17" s="135"/>
      <c r="F17" s="135"/>
    </row>
    <row r="18" spans="2:9" ht="13.5" thickBot="1" x14ac:dyDescent="0.25">
      <c r="B18" s="265"/>
      <c r="C18" s="682" t="s">
        <v>183</v>
      </c>
      <c r="D18" s="683"/>
      <c r="E18" s="395"/>
      <c r="F18" s="135"/>
      <c r="G18" s="22"/>
      <c r="H18" s="22"/>
      <c r="I18" s="22"/>
    </row>
    <row r="19" spans="2:9" ht="30" customHeight="1" thickBot="1" x14ac:dyDescent="0.25">
      <c r="B19" s="396" t="s">
        <v>132</v>
      </c>
      <c r="C19" s="389" t="s">
        <v>188</v>
      </c>
      <c r="D19" s="390" t="s">
        <v>189</v>
      </c>
      <c r="E19" s="378" t="s">
        <v>130</v>
      </c>
      <c r="F19" s="17"/>
      <c r="G19" s="673" t="s">
        <v>471</v>
      </c>
      <c r="H19" s="674"/>
      <c r="I19" s="675"/>
    </row>
    <row r="20" spans="2:9" x14ac:dyDescent="0.2">
      <c r="B20" s="53">
        <v>0</v>
      </c>
      <c r="C20" s="24">
        <f>_xlfn.GAMMA.DIST(B20,$B$16,$C$16,FALSE)</f>
        <v>0</v>
      </c>
      <c r="D20" s="17">
        <f>_xlfn.GAMMA.DIST(B20,$B$16,$C$16,TRUE)</f>
        <v>0</v>
      </c>
      <c r="E20" s="24"/>
      <c r="F20" s="17"/>
      <c r="G20" s="676"/>
      <c r="H20" s="677"/>
      <c r="I20" s="678"/>
    </row>
    <row r="21" spans="2:9" ht="13.5" thickBot="1" x14ac:dyDescent="0.25">
      <c r="B21" s="295">
        <v>0.01</v>
      </c>
      <c r="C21" s="25">
        <f>GAMMADIST(B21,$B$16,$C$16,FALSE)</f>
        <v>2.4875311979817077E-3</v>
      </c>
      <c r="D21" s="18">
        <f>_xlfn.GAMMA.DIST(B21,$B$16,$C$16,TRUE)</f>
        <v>1.2458411354275092E-5</v>
      </c>
      <c r="E21" s="25">
        <f>_xlfn.BETA.INV(B21,$B$16,$C$16)</f>
        <v>5.8903135778195247E-2</v>
      </c>
      <c r="F21" s="17"/>
      <c r="G21" s="679"/>
      <c r="H21" s="680"/>
      <c r="I21" s="681"/>
    </row>
    <row r="22" spans="2:9" x14ac:dyDescent="0.2">
      <c r="B22" s="53">
        <v>0.02</v>
      </c>
      <c r="C22" s="25">
        <f t="shared" ref="C22:C85" si="0">GAMMADIST(B22,$B$16,$C$16,FALSE)</f>
        <v>4.950249168745844E-3</v>
      </c>
      <c r="D22" s="18">
        <f t="shared" ref="D22:D85" si="1">_xlfn.GAMMA.DIST(B22,$B$16,$C$16,TRUE)</f>
        <v>4.9667913340265944E-5</v>
      </c>
      <c r="E22" s="25">
        <f t="shared" ref="E22:E85" si="2">_xlfn.BETA.INV(B22,$B$16,$C$16)</f>
        <v>8.4037699393241641E-2</v>
      </c>
      <c r="F22" s="17"/>
      <c r="G22" s="196" t="s">
        <v>191</v>
      </c>
      <c r="H22" s="394"/>
      <c r="I22" s="393">
        <v>0.8</v>
      </c>
    </row>
    <row r="23" spans="2:9" x14ac:dyDescent="0.2">
      <c r="B23" s="295">
        <v>0.03</v>
      </c>
      <c r="C23" s="25">
        <f t="shared" si="0"/>
        <v>7.3883395470229667E-3</v>
      </c>
      <c r="D23" s="18">
        <f t="shared" si="1"/>
        <v>1.1138130289139855E-4</v>
      </c>
      <c r="E23" s="25">
        <f t="shared" si="2"/>
        <v>0.10364483924951282</v>
      </c>
      <c r="F23" s="17"/>
      <c r="G23" s="391" t="s">
        <v>184</v>
      </c>
      <c r="H23" s="18"/>
      <c r="I23" s="33">
        <f>B16</f>
        <v>2</v>
      </c>
    </row>
    <row r="24" spans="2:9" x14ac:dyDescent="0.2">
      <c r="B24" s="53">
        <v>0.04</v>
      </c>
      <c r="C24" s="25">
        <f t="shared" si="0"/>
        <v>9.801986733067555E-3</v>
      </c>
      <c r="D24" s="18">
        <f t="shared" si="1"/>
        <v>1.9735322710959176E-4</v>
      </c>
      <c r="E24" s="25">
        <f t="shared" si="2"/>
        <v>0.12040345486498953</v>
      </c>
      <c r="F24" s="17"/>
      <c r="G24" s="196" t="s">
        <v>185</v>
      </c>
      <c r="H24" s="19"/>
      <c r="I24" s="34">
        <f>C16</f>
        <v>2</v>
      </c>
    </row>
    <row r="25" spans="2:9" ht="13.5" thickBot="1" x14ac:dyDescent="0.25">
      <c r="B25" s="295">
        <v>0.05</v>
      </c>
      <c r="C25" s="25">
        <f t="shared" si="0"/>
        <v>1.2191373900354158E-2</v>
      </c>
      <c r="D25" s="18">
        <f t="shared" si="1"/>
        <v>3.0734017095901465E-4</v>
      </c>
      <c r="E25" s="25">
        <f t="shared" si="2"/>
        <v>0.13535036217158378</v>
      </c>
      <c r="F25" s="17"/>
      <c r="G25" s="262" t="s">
        <v>472</v>
      </c>
      <c r="H25" s="308"/>
      <c r="I25" s="392">
        <f>_xlfn.BETA.INV(I22,I23,I24)</f>
        <v>0.71285927458325959</v>
      </c>
    </row>
    <row r="26" spans="2:9" x14ac:dyDescent="0.2">
      <c r="B26" s="53">
        <v>0.06</v>
      </c>
      <c r="C26" s="25">
        <f t="shared" si="0"/>
        <v>1.455668300322762E-2</v>
      </c>
      <c r="D26" s="18">
        <f t="shared" si="1"/>
        <v>4.4110044503657773E-4</v>
      </c>
      <c r="E26" s="25">
        <f t="shared" si="2"/>
        <v>0.14901695254532629</v>
      </c>
    </row>
    <row r="27" spans="2:9" x14ac:dyDescent="0.2">
      <c r="B27" s="295">
        <v>7.0000000000000007E-2</v>
      </c>
      <c r="C27" s="25">
        <f t="shared" si="0"/>
        <v>1.6898094784507416E-2</v>
      </c>
      <c r="D27" s="18">
        <f t="shared" si="1"/>
        <v>5.9839417341869523E-4</v>
      </c>
      <c r="E27" s="25">
        <f t="shared" si="2"/>
        <v>0.16171873006814813</v>
      </c>
    </row>
    <row r="28" spans="2:9" x14ac:dyDescent="0.2">
      <c r="B28" s="53">
        <v>0.08</v>
      </c>
      <c r="C28" s="25">
        <f t="shared" si="0"/>
        <v>1.9215788783046469E-2</v>
      </c>
      <c r="D28" s="18">
        <f t="shared" si="1"/>
        <v>7.7898328158386237E-4</v>
      </c>
      <c r="E28" s="25">
        <f t="shared" si="2"/>
        <v>0.17366118321649368</v>
      </c>
    </row>
    <row r="29" spans="2:9" x14ac:dyDescent="0.2">
      <c r="B29" s="295">
        <v>0.09</v>
      </c>
      <c r="C29" s="25">
        <f t="shared" si="0"/>
        <v>2.1509943341244748E-2</v>
      </c>
      <c r="D29" s="18">
        <f t="shared" si="1"/>
        <v>9.8263148441059722E-4</v>
      </c>
      <c r="E29" s="25">
        <f t="shared" si="2"/>
        <v>0.18498701119895614</v>
      </c>
    </row>
    <row r="30" spans="2:9" x14ac:dyDescent="0.2">
      <c r="B30" s="53">
        <v>0.1</v>
      </c>
      <c r="C30" s="25">
        <f t="shared" si="0"/>
        <v>2.3780735612517857E-2</v>
      </c>
      <c r="D30" s="18">
        <f t="shared" si="1"/>
        <v>1.2091042742502908E-3</v>
      </c>
      <c r="E30" s="25">
        <f t="shared" si="2"/>
        <v>0.19580010565909176</v>
      </c>
    </row>
    <row r="31" spans="2:9" x14ac:dyDescent="0.2">
      <c r="B31" s="295">
        <v>0.11</v>
      </c>
      <c r="C31" s="25">
        <f t="shared" si="0"/>
        <v>2.602834156872081E-2</v>
      </c>
      <c r="D31" s="18">
        <f t="shared" si="1"/>
        <v>1.4581689090745176E-3</v>
      </c>
      <c r="E31" s="25">
        <f t="shared" si="2"/>
        <v>0.20617890606575373</v>
      </c>
    </row>
    <row r="32" spans="2:9" x14ac:dyDescent="0.2">
      <c r="B32" s="53">
        <v>0.12</v>
      </c>
      <c r="C32" s="25">
        <f t="shared" si="0"/>
        <v>2.8252936007527461E-2</v>
      </c>
      <c r="D32" s="18">
        <f t="shared" si="1"/>
        <v>1.7295944006963677E-3</v>
      </c>
      <c r="E32" s="25">
        <f t="shared" si="2"/>
        <v>0.21618437233106988</v>
      </c>
    </row>
    <row r="33" spans="2:5" x14ac:dyDescent="0.2">
      <c r="B33" s="295">
        <v>0.13</v>
      </c>
      <c r="C33" s="25">
        <f t="shared" si="0"/>
        <v>3.04546925597656E-2</v>
      </c>
      <c r="D33" s="18">
        <f t="shared" si="1"/>
        <v>2.0231515030653432E-3</v>
      </c>
      <c r="E33" s="25">
        <f t="shared" si="2"/>
        <v>0.22586500998301304</v>
      </c>
    </row>
    <row r="34" spans="2:5" x14ac:dyDescent="0.2">
      <c r="B34" s="53">
        <v>0.14000000000000001</v>
      </c>
      <c r="C34" s="25">
        <f t="shared" si="0"/>
        <v>3.2633783696708191E-2</v>
      </c>
      <c r="D34" s="18">
        <f t="shared" si="1"/>
        <v>2.3386127006353955E-3</v>
      </c>
      <c r="E34" s="25">
        <f t="shared" si="2"/>
        <v>0.23526017930091103</v>
      </c>
    </row>
    <row r="35" spans="2:5" x14ac:dyDescent="0.2">
      <c r="B35" s="295">
        <v>0.15</v>
      </c>
      <c r="C35" s="25">
        <f t="shared" si="0"/>
        <v>3.4790380737320721E-2</v>
      </c>
      <c r="D35" s="18">
        <f t="shared" si="1"/>
        <v>2.6757521968056391E-3</v>
      </c>
      <c r="E35" s="25">
        <f t="shared" si="2"/>
        <v>0.24440235445092226</v>
      </c>
    </row>
    <row r="36" spans="2:5" x14ac:dyDescent="0.2">
      <c r="B36" s="53">
        <v>0.16</v>
      </c>
      <c r="C36" s="25">
        <f t="shared" si="0"/>
        <v>3.6924653855465416E-2</v>
      </c>
      <c r="D36" s="18">
        <f t="shared" si="1"/>
        <v>3.0343459024333528E-3</v>
      </c>
      <c r="E36" s="25">
        <f t="shared" si="2"/>
        <v>0.25331871317154919</v>
      </c>
    </row>
    <row r="37" spans="2:5" x14ac:dyDescent="0.2">
      <c r="B37" s="295">
        <v>0.17</v>
      </c>
      <c r="C37" s="25">
        <f t="shared" si="0"/>
        <v>3.9036772087061931E-2</v>
      </c>
      <c r="D37" s="18">
        <f t="shared" si="1"/>
        <v>3.4141714244187694E-3</v>
      </c>
      <c r="E37" s="25">
        <f t="shared" si="2"/>
        <v>0.26203228458704048</v>
      </c>
    </row>
    <row r="38" spans="2:5" x14ac:dyDescent="0.2">
      <c r="B38" s="53">
        <v>0.18</v>
      </c>
      <c r="C38" s="25">
        <f t="shared" si="0"/>
        <v>4.1126903337205242E-2</v>
      </c>
      <c r="D38" s="18">
        <f t="shared" si="1"/>
        <v>3.8150080543612745E-3</v>
      </c>
      <c r="E38" s="25">
        <f t="shared" si="2"/>
        <v>0.27056279659674243</v>
      </c>
    </row>
    <row r="39" spans="2:5" x14ac:dyDescent="0.2">
      <c r="B39" s="295">
        <v>0.19</v>
      </c>
      <c r="C39" s="25">
        <f t="shared" si="0"/>
        <v>4.3195214387241006E-2</v>
      </c>
      <c r="D39" s="18">
        <f t="shared" si="1"/>
        <v>4.2366367572865948E-3</v>
      </c>
      <c r="E39" s="25">
        <f t="shared" si="2"/>
        <v>0.27892731371169138</v>
      </c>
    </row>
    <row r="40" spans="2:5" x14ac:dyDescent="0.2">
      <c r="B40" s="53">
        <v>0.2</v>
      </c>
      <c r="C40" s="25">
        <f t="shared" si="0"/>
        <v>4.5241870901797994E-2</v>
      </c>
      <c r="D40" s="18">
        <f t="shared" si="1"/>
        <v>4.6788401604444712E-3</v>
      </c>
      <c r="E40" s="25">
        <f t="shared" si="2"/>
        <v>0.28714072541674046</v>
      </c>
    </row>
    <row r="41" spans="2:5" x14ac:dyDescent="0.2">
      <c r="B41" s="295">
        <v>0.21</v>
      </c>
      <c r="C41" s="25">
        <f t="shared" si="0"/>
        <v>4.7267037435778939E-2</v>
      </c>
      <c r="D41" s="18">
        <f t="shared" si="1"/>
        <v>5.1414025421764988E-3</v>
      </c>
      <c r="E41" s="25">
        <f t="shared" si="2"/>
        <v>0.29521612578951922</v>
      </c>
    </row>
    <row r="42" spans="2:5" x14ac:dyDescent="0.2">
      <c r="B42" s="53">
        <v>0.22</v>
      </c>
      <c r="C42" s="25">
        <f t="shared" si="0"/>
        <v>4.9270877441309056E-2</v>
      </c>
      <c r="D42" s="18">
        <f t="shared" si="1"/>
        <v>5.6241098208536415E-3</v>
      </c>
      <c r="E42" s="25">
        <f t="shared" si="2"/>
        <v>0.30316511261142159</v>
      </c>
    </row>
    <row r="43" spans="2:5" x14ac:dyDescent="0.2">
      <c r="B43" s="295">
        <v>0.23</v>
      </c>
      <c r="C43" s="25">
        <f t="shared" si="0"/>
        <v>5.1253553274642788E-2</v>
      </c>
      <c r="D43" s="18">
        <f t="shared" si="1"/>
        <v>6.1267495438830236E-3</v>
      </c>
      <c r="E43" s="25">
        <f t="shared" si="2"/>
        <v>0.31099802593470888</v>
      </c>
    </row>
    <row r="44" spans="2:5" x14ac:dyDescent="0.2">
      <c r="B44" s="53">
        <v>0.24</v>
      </c>
      <c r="C44" s="25">
        <f t="shared" si="0"/>
        <v>5.3215226203029452E-2</v>
      </c>
      <c r="D44" s="18">
        <f t="shared" si="1"/>
        <v>6.6491108767835804E-3</v>
      </c>
      <c r="E44" s="25">
        <f t="shared" si="2"/>
        <v>0.31872414047436848</v>
      </c>
    </row>
    <row r="45" spans="2:5" x14ac:dyDescent="0.2">
      <c r="B45" s="295">
        <v>0.25</v>
      </c>
      <c r="C45" s="25">
        <f t="shared" si="0"/>
        <v>5.515605641153723E-2</v>
      </c>
      <c r="D45" s="18">
        <f t="shared" si="1"/>
        <v>7.1909845923301746E-3</v>
      </c>
      <c r="E45" s="25">
        <f t="shared" si="2"/>
        <v>0.3263518223330697</v>
      </c>
    </row>
    <row r="46" spans="2:5" x14ac:dyDescent="0.2">
      <c r="B46" s="53">
        <v>0.26</v>
      </c>
      <c r="C46" s="25">
        <f t="shared" si="0"/>
        <v>5.7076203009836478E-2</v>
      </c>
      <c r="D46" s="18">
        <f t="shared" si="1"/>
        <v>7.7521630597657031E-3</v>
      </c>
      <c r="E46" s="25">
        <f t="shared" si="2"/>
        <v>0.33388865785677502</v>
      </c>
    </row>
    <row r="47" spans="2:5" x14ac:dyDescent="0.2">
      <c r="B47" s="295">
        <v>0.27</v>
      </c>
      <c r="C47" s="25">
        <f t="shared" si="0"/>
        <v>5.8975824038942311E-2</v>
      </c>
      <c r="D47" s="18">
        <f t="shared" si="1"/>
        <v>8.3324402340809144E-3</v>
      </c>
      <c r="E47" s="25">
        <f t="shared" si="2"/>
        <v>0.3413415604841713</v>
      </c>
    </row>
    <row r="48" spans="2:5" x14ac:dyDescent="0.2">
      <c r="B48" s="53">
        <v>0.28000000000000003</v>
      </c>
      <c r="C48" s="25">
        <f t="shared" si="0"/>
        <v>6.0855076477916395E-2</v>
      </c>
      <c r="D48" s="18">
        <f t="shared" si="1"/>
        <v>8.9316116453613623E-3</v>
      </c>
      <c r="E48" s="25">
        <f t="shared" si="2"/>
        <v>0.34871686005233737</v>
      </c>
    </row>
    <row r="49" spans="2:5" x14ac:dyDescent="0.2">
      <c r="B49" s="295">
        <v>0.28999999999999998</v>
      </c>
      <c r="C49" s="25">
        <f t="shared" si="0"/>
        <v>6.2714116250528751E-2</v>
      </c>
      <c r="D49" s="18">
        <f t="shared" si="1"/>
        <v>9.5494743882012269E-3</v>
      </c>
      <c r="E49" s="25">
        <f t="shared" si="2"/>
        <v>0.3560203779930779</v>
      </c>
    </row>
    <row r="50" spans="2:5" x14ac:dyDescent="0.2">
      <c r="B50" s="53">
        <v>0.3</v>
      </c>
      <c r="C50" s="25">
        <f t="shared" si="0"/>
        <v>6.4553098231879324E-2</v>
      </c>
      <c r="D50" s="18">
        <f t="shared" si="1"/>
        <v>1.018582711118352E-2</v>
      </c>
      <c r="E50" s="25">
        <f t="shared" si="2"/>
        <v>0.3632574910905676</v>
      </c>
    </row>
    <row r="51" spans="2:5" x14ac:dyDescent="0.2">
      <c r="B51" s="295">
        <v>0.31</v>
      </c>
      <c r="C51" s="25">
        <f t="shared" si="0"/>
        <v>6.6372176254980042E-2</v>
      </c>
      <c r="D51" s="18">
        <f t="shared" si="1"/>
        <v>1.0840470006426373E-2</v>
      </c>
      <c r="E51" s="25">
        <f t="shared" si="2"/>
        <v>0.37043318589700985</v>
      </c>
    </row>
    <row r="52" spans="2:5" x14ac:dyDescent="0.2">
      <c r="B52" s="53">
        <v>0.32</v>
      </c>
      <c r="C52" s="25">
        <f t="shared" si="0"/>
        <v>6.8171503117296889E-2</v>
      </c>
      <c r="D52" s="18">
        <f t="shared" si="1"/>
        <v>1.1513204799194845E-2</v>
      </c>
      <c r="E52" s="25">
        <f t="shared" si="2"/>
        <v>0.37755210546718287</v>
      </c>
    </row>
    <row r="53" spans="2:5" x14ac:dyDescent="0.2">
      <c r="B53" s="295">
        <v>0.33</v>
      </c>
      <c r="C53" s="25">
        <f t="shared" si="0"/>
        <v>6.9951230587253069E-2</v>
      </c>
      <c r="D53" s="18">
        <f t="shared" si="1"/>
        <v>1.2203834737578065E-2</v>
      </c>
      <c r="E53" s="25">
        <f t="shared" si="2"/>
        <v>0.38461858973858176</v>
      </c>
    </row>
    <row r="54" spans="2:5" x14ac:dyDescent="0.2">
      <c r="B54" s="53">
        <v>0.34</v>
      </c>
      <c r="C54" s="25">
        <f t="shared" si="0"/>
        <v>7.1711509410692612E-2</v>
      </c>
      <c r="D54" s="18">
        <f t="shared" si="1"/>
        <v>1.2912164582231092E-2</v>
      </c>
      <c r="E54" s="25">
        <f t="shared" si="2"/>
        <v>0.39163671062533895</v>
      </c>
    </row>
    <row r="55" spans="2:5" x14ac:dyDescent="0.2">
      <c r="B55" s="295">
        <v>0.35</v>
      </c>
      <c r="C55" s="25">
        <f t="shared" si="0"/>
        <v>7.3452489317305636E-2</v>
      </c>
      <c r="D55" s="18">
        <f t="shared" si="1"/>
        <v>1.3638000596181353E-2</v>
      </c>
      <c r="E55" s="25">
        <f t="shared" si="2"/>
        <v>0.39861030269243491</v>
      </c>
    </row>
    <row r="56" spans="2:5" x14ac:dyDescent="0.2">
      <c r="B56" s="53">
        <v>0.36</v>
      </c>
      <c r="C56" s="25">
        <f t="shared" si="0"/>
        <v>7.5174319027014477E-2</v>
      </c>
      <c r="D56" s="18">
        <f t="shared" si="1"/>
        <v>1.4381150534699013E-2</v>
      </c>
      <c r="E56" s="25">
        <f t="shared" si="2"/>
        <v>0.40554299011818346</v>
      </c>
    </row>
    <row r="57" spans="2:5" x14ac:dyDescent="0.2">
      <c r="B57" s="295">
        <v>0.37</v>
      </c>
      <c r="C57" s="25">
        <f t="shared" si="0"/>
        <v>7.687714625632161E-2</v>
      </c>
      <c r="D57" s="18">
        <f t="shared" si="1"/>
        <v>1.5141423635231093E-2</v>
      </c>
      <c r="E57" s="25">
        <f t="shared" si="2"/>
        <v>0.41243821052747748</v>
      </c>
    </row>
    <row r="58" spans="2:5" x14ac:dyDescent="0.2">
      <c r="B58" s="53">
        <v>0.38</v>
      </c>
      <c r="C58" s="25">
        <f t="shared" si="0"/>
        <v>7.8561117724619434E-2</v>
      </c>
      <c r="D58" s="18">
        <f t="shared" si="1"/>
        <v>1.5918630607398846E-2</v>
      </c>
      <c r="E58" s="25">
        <f t="shared" si="2"/>
        <v>0.41929923617828657</v>
      </c>
    </row>
    <row r="59" spans="2:5" x14ac:dyDescent="0.2">
      <c r="B59" s="295">
        <v>0.39</v>
      </c>
      <c r="C59" s="25">
        <f t="shared" si="0"/>
        <v>8.0226379160461783E-2</v>
      </c>
      <c r="D59" s="18">
        <f t="shared" si="1"/>
        <v>1.6712583623058025E-2</v>
      </c>
      <c r="E59" s="25">
        <f t="shared" si="2"/>
        <v>0.42612919290376039</v>
      </c>
    </row>
    <row r="60" spans="2:5" x14ac:dyDescent="0.2">
      <c r="B60" s="53">
        <v>0.4</v>
      </c>
      <c r="C60" s="25">
        <f t="shared" si="0"/>
        <v>8.1873075307798193E-2</v>
      </c>
      <c r="D60" s="18">
        <f t="shared" si="1"/>
        <v>1.7523096306421772E-2</v>
      </c>
      <c r="E60" s="25">
        <f t="shared" si="2"/>
        <v>0.43293107714773177</v>
      </c>
    </row>
    <row r="61" spans="2:5" x14ac:dyDescent="0.2">
      <c r="B61" s="295">
        <v>0.41</v>
      </c>
      <c r="C61" s="25">
        <f t="shared" si="0"/>
        <v>8.3501349932169941E-2</v>
      </c>
      <c r="D61" s="18">
        <f t="shared" si="1"/>
        <v>1.8349983724245456E-2</v>
      </c>
      <c r="E61" s="25">
        <f t="shared" si="2"/>
        <v>0.43970777137916983</v>
      </c>
    </row>
    <row r="62" spans="2:5" x14ac:dyDescent="0.2">
      <c r="B62" s="53">
        <v>0.42</v>
      </c>
      <c r="C62" s="25">
        <f t="shared" si="0"/>
        <v>8.5111345826869647E-2</v>
      </c>
      <c r="D62" s="18">
        <f t="shared" si="1"/>
        <v>1.9193062376073614E-2</v>
      </c>
      <c r="E62" s="25">
        <f t="shared" si="2"/>
        <v>0.44646205812870476</v>
      </c>
    </row>
    <row r="63" spans="2:5" x14ac:dyDescent="0.2">
      <c r="B63" s="295">
        <v>0.43</v>
      </c>
      <c r="C63" s="25">
        <f t="shared" si="0"/>
        <v>8.6703204819062615E-2</v>
      </c>
      <c r="D63" s="18">
        <f t="shared" si="1"/>
        <v>2.005215018454785E-2</v>
      </c>
      <c r="E63" s="25">
        <f t="shared" si="2"/>
        <v>0.45319663285579537</v>
      </c>
    </row>
    <row r="64" spans="2:5" x14ac:dyDescent="0.2">
      <c r="B64" s="53">
        <v>0.44</v>
      </c>
      <c r="C64" s="25">
        <f t="shared" si="0"/>
        <v>8.8277067775872631E-2</v>
      </c>
      <c r="D64" s="18">
        <f t="shared" si="1"/>
        <v>2.0927066485776247E-2</v>
      </c>
      <c r="E64" s="25">
        <f t="shared" si="2"/>
        <v>0.45991411582693992</v>
      </c>
    </row>
    <row r="65" spans="2:5" x14ac:dyDescent="0.2">
      <c r="B65" s="295">
        <v>0.45</v>
      </c>
      <c r="C65" s="25">
        <f t="shared" si="0"/>
        <v>8.98330746104299E-2</v>
      </c>
      <c r="D65" s="18">
        <f t="shared" si="1"/>
        <v>2.1817632019763115E-2</v>
      </c>
      <c r="E65" s="25">
        <f t="shared" si="2"/>
        <v>0.46661706316236778</v>
      </c>
    </row>
    <row r="66" spans="2:5" x14ac:dyDescent="0.2">
      <c r="B66" s="53">
        <v>0.46</v>
      </c>
      <c r="C66" s="25">
        <f t="shared" si="0"/>
        <v>9.1371364287883394E-2</v>
      </c>
      <c r="D66" s="18">
        <f t="shared" si="1"/>
        <v>2.2723668920899161E-2</v>
      </c>
      <c r="E66" s="25">
        <f t="shared" si="2"/>
        <v>0.47330797718997364</v>
      </c>
    </row>
    <row r="67" spans="2:5" x14ac:dyDescent="0.2">
      <c r="B67" s="295">
        <v>0.47</v>
      </c>
      <c r="C67" s="25">
        <f t="shared" si="0"/>
        <v>9.2892074831376417E-2</v>
      </c>
      <c r="D67" s="18">
        <f t="shared" si="1"/>
        <v>2.3645000708511589E-2</v>
      </c>
      <c r="E67" s="25">
        <f t="shared" si="2"/>
        <v>0.47998931623016849</v>
      </c>
    </row>
    <row r="68" spans="2:5" x14ac:dyDescent="0.2">
      <c r="B68" s="53">
        <v>0.48</v>
      </c>
      <c r="C68" s="25">
        <f t="shared" si="0"/>
        <v>9.4395343327986395E-2</v>
      </c>
      <c r="D68" s="18">
        <f t="shared" si="1"/>
        <v>2.4581452277473766E-2</v>
      </c>
      <c r="E68" s="25">
        <f t="shared" si="2"/>
        <v>0.48666350392324398</v>
      </c>
    </row>
    <row r="69" spans="2:5" x14ac:dyDescent="0.2">
      <c r="B69" s="295">
        <v>0.49</v>
      </c>
      <c r="C69" s="25">
        <f t="shared" si="0"/>
        <v>9.5881305934628833E-2</v>
      </c>
      <c r="D69" s="18">
        <f t="shared" si="1"/>
        <v>2.5532849888874123E-2</v>
      </c>
      <c r="E69" s="25">
        <f t="shared" si="2"/>
        <v>0.4933329382013551</v>
      </c>
    </row>
    <row r="70" spans="2:5" x14ac:dyDescent="0.2">
      <c r="B70" s="53">
        <v>0.5</v>
      </c>
      <c r="C70" s="25">
        <f t="shared" si="0"/>
        <v>9.735009788392561E-2</v>
      </c>
      <c r="D70" s="18">
        <f t="shared" si="1"/>
        <v>2.6499021160743909E-2</v>
      </c>
      <c r="E70" s="25">
        <f t="shared" si="2"/>
        <v>0.5</v>
      </c>
    </row>
    <row r="71" spans="2:5" x14ac:dyDescent="0.2">
      <c r="B71" s="295">
        <v>0.51</v>
      </c>
      <c r="C71" s="25">
        <f t="shared" si="0"/>
        <v>9.8801853490037825E-2</v>
      </c>
      <c r="D71" s="18">
        <f t="shared" si="1"/>
        <v>2.7479795058843438E-2</v>
      </c>
      <c r="E71" s="25">
        <f t="shared" si="2"/>
        <v>0.50666706179864485</v>
      </c>
    </row>
    <row r="72" spans="2:5" x14ac:dyDescent="0.2">
      <c r="B72" s="53">
        <v>0.52</v>
      </c>
      <c r="C72" s="25">
        <f t="shared" si="0"/>
        <v>0.10023670615446362</v>
      </c>
      <c r="D72" s="18">
        <f t="shared" si="1"/>
        <v>2.8475001887506488E-2</v>
      </c>
      <c r="E72" s="25">
        <f t="shared" si="2"/>
        <v>0.51333649607675602</v>
      </c>
    </row>
    <row r="73" spans="2:5" x14ac:dyDescent="0.2">
      <c r="B73" s="295">
        <v>0.53</v>
      </c>
      <c r="C73" s="25">
        <f t="shared" si="0"/>
        <v>0.10165478837180086</v>
      </c>
      <c r="D73" s="18">
        <f t="shared" si="1"/>
        <v>2.9484473280542534E-2</v>
      </c>
      <c r="E73" s="25">
        <f t="shared" si="2"/>
        <v>0.52001068376983151</v>
      </c>
    </row>
    <row r="74" spans="2:5" x14ac:dyDescent="0.2">
      <c r="B74" s="53">
        <v>0.54</v>
      </c>
      <c r="C74" s="25">
        <f t="shared" si="0"/>
        <v>0.10305623173547517</v>
      </c>
      <c r="D74" s="18">
        <f t="shared" si="1"/>
        <v>3.0508042192196463E-2</v>
      </c>
      <c r="E74" s="25">
        <f t="shared" si="2"/>
        <v>0.52669202281002647</v>
      </c>
    </row>
    <row r="75" spans="2:5" x14ac:dyDescent="0.2">
      <c r="B75" s="295">
        <v>0.55000000000000004</v>
      </c>
      <c r="C75" s="25">
        <f t="shared" si="0"/>
        <v>0.10444116694343318</v>
      </c>
      <c r="D75" s="18">
        <f t="shared" si="1"/>
        <v>3.1545542888165211E-2</v>
      </c>
      <c r="E75" s="25">
        <f t="shared" si="2"/>
        <v>0.53338293683763227</v>
      </c>
    </row>
    <row r="76" spans="2:5" x14ac:dyDescent="0.2">
      <c r="B76" s="53">
        <v>0.56000000000000005</v>
      </c>
      <c r="C76" s="25">
        <f t="shared" si="0"/>
        <v>0.10580972380380158</v>
      </c>
      <c r="D76" s="18">
        <f t="shared" si="1"/>
        <v>3.2596810936671397E-2</v>
      </c>
      <c r="E76" s="25">
        <f t="shared" si="2"/>
        <v>0.54008588417306003</v>
      </c>
    </row>
    <row r="77" spans="2:5" x14ac:dyDescent="0.2">
      <c r="B77" s="295">
        <v>0.56999999999999995</v>
      </c>
      <c r="C77" s="25">
        <f t="shared" si="0"/>
        <v>0.107162031240512</v>
      </c>
      <c r="D77" s="18">
        <f t="shared" si="1"/>
        <v>3.3661683199593305E-2</v>
      </c>
      <c r="E77" s="25">
        <f t="shared" si="2"/>
        <v>0.54680336714420474</v>
      </c>
    </row>
    <row r="78" spans="2:5" x14ac:dyDescent="0.2">
      <c r="B78" s="53">
        <v>0.57999999999999996</v>
      </c>
      <c r="C78" s="25">
        <f t="shared" si="0"/>
        <v>0.10849821729889193</v>
      </c>
      <c r="D78" s="18">
        <f t="shared" si="1"/>
        <v>3.4739997823650857E-2</v>
      </c>
      <c r="E78" s="25">
        <f t="shared" si="2"/>
        <v>0.55353794187129524</v>
      </c>
    </row>
    <row r="79" spans="2:5" x14ac:dyDescent="0.2">
      <c r="B79" s="295">
        <v>0.59</v>
      </c>
      <c r="C79" s="25">
        <f t="shared" si="0"/>
        <v>0.10981840915122164</v>
      </c>
      <c r="D79" s="18">
        <f t="shared" si="1"/>
        <v>3.583159423164739E-2</v>
      </c>
      <c r="E79" s="25">
        <f t="shared" si="2"/>
        <v>0.56029222862083006</v>
      </c>
    </row>
    <row r="80" spans="2:5" x14ac:dyDescent="0.2">
      <c r="B80" s="53">
        <v>0.6</v>
      </c>
      <c r="C80" s="25">
        <f t="shared" si="0"/>
        <v>0.11112273310225763</v>
      </c>
      <c r="D80" s="18">
        <f t="shared" si="1"/>
        <v>3.6936313113766765E-2</v>
      </c>
      <c r="E80" s="25">
        <f t="shared" si="2"/>
        <v>0.56706892285226829</v>
      </c>
    </row>
    <row r="81" spans="2:5" x14ac:dyDescent="0.2">
      <c r="B81" s="295">
        <v>0.61</v>
      </c>
      <c r="C81" s="25">
        <f t="shared" si="0"/>
        <v>0.11241131459472324</v>
      </c>
      <c r="D81" s="18">
        <f t="shared" si="1"/>
        <v>3.805399641892581E-2</v>
      </c>
      <c r="E81" s="25">
        <f t="shared" si="2"/>
        <v>0.57387080709623961</v>
      </c>
    </row>
    <row r="82" spans="2:5" x14ac:dyDescent="0.2">
      <c r="B82" s="53">
        <v>0.62</v>
      </c>
      <c r="C82" s="25">
        <f t="shared" si="0"/>
        <v>0.11368427821476484</v>
      </c>
      <c r="D82" s="18">
        <f t="shared" si="1"/>
        <v>3.9184487346181067E-2</v>
      </c>
      <c r="E82" s="25">
        <f t="shared" si="2"/>
        <v>0.58070076382171343</v>
      </c>
    </row>
    <row r="83" spans="2:5" x14ac:dyDescent="0.2">
      <c r="B83" s="295">
        <v>0.63</v>
      </c>
      <c r="C83" s="25">
        <f t="shared" si="0"/>
        <v>0.11494174769737645</v>
      </c>
      <c r="D83" s="18">
        <f t="shared" si="1"/>
        <v>4.0327630336190322E-2</v>
      </c>
      <c r="E83" s="25">
        <f t="shared" si="2"/>
        <v>0.58756178947252247</v>
      </c>
    </row>
    <row r="84" spans="2:5" x14ac:dyDescent="0.2">
      <c r="B84" s="53">
        <v>0.64</v>
      </c>
      <c r="C84" s="25">
        <f t="shared" si="0"/>
        <v>0.11618384593179054</v>
      </c>
      <c r="D84" s="18">
        <f t="shared" si="1"/>
        <v>4.1483271062727964E-2</v>
      </c>
      <c r="E84" s="25">
        <f t="shared" si="2"/>
        <v>0.59445700988181649</v>
      </c>
    </row>
    <row r="85" spans="2:5" x14ac:dyDescent="0.2">
      <c r="B85" s="295">
        <v>0.65</v>
      </c>
      <c r="C85" s="25">
        <f t="shared" si="0"/>
        <v>0.11741069496683673</v>
      </c>
      <c r="D85" s="18">
        <f t="shared" si="1"/>
        <v>4.2651256424254352E-2</v>
      </c>
      <c r="E85" s="25">
        <f t="shared" si="2"/>
        <v>0.60138969730756509</v>
      </c>
    </row>
    <row r="86" spans="2:5" x14ac:dyDescent="0.2">
      <c r="B86" s="53">
        <v>0.66</v>
      </c>
      <c r="C86" s="25">
        <f t="shared" ref="C86:C120" si="3">GAMMADIST(B86,$B$16,$C$16,FALSE)</f>
        <v>0.1186224160162678</v>
      </c>
      <c r="D86" s="18">
        <f t="shared" ref="D86:D120" si="4">_xlfn.GAMMA.DIST(B86,$B$16,$C$16,TRUE)</f>
        <v>4.38314345355382E-2</v>
      </c>
      <c r="E86" s="25">
        <f t="shared" ref="E86:E119" si="5">_xlfn.BETA.INV(B86,$B$16,$C$16)</f>
        <v>0.60836328937466111</v>
      </c>
    </row>
    <row r="87" spans="2:5" x14ac:dyDescent="0.2">
      <c r="B87" s="295">
        <v>0.67</v>
      </c>
      <c r="C87" s="25">
        <f t="shared" si="3"/>
        <v>0.11981912946405378</v>
      </c>
      <c r="D87" s="18">
        <f t="shared" si="4"/>
        <v>4.50236547193325E-2</v>
      </c>
      <c r="E87" s="25">
        <f t="shared" si="5"/>
        <v>0.61538141026141824</v>
      </c>
    </row>
    <row r="88" spans="2:5" x14ac:dyDescent="0.2">
      <c r="B88" s="53">
        <v>0.68</v>
      </c>
      <c r="C88" s="25">
        <f t="shared" si="3"/>
        <v>0.12100095486964367</v>
      </c>
      <c r="D88" s="18">
        <f t="shared" si="4"/>
        <v>4.6227767498102999E-2</v>
      </c>
      <c r="E88" s="25">
        <f t="shared" si="5"/>
        <v>0.62244789453281713</v>
      </c>
    </row>
    <row r="89" spans="2:5" x14ac:dyDescent="0.2">
      <c r="B89" s="295">
        <v>0.69</v>
      </c>
      <c r="C89" s="25">
        <f t="shared" si="3"/>
        <v>0.12216801097319549</v>
      </c>
      <c r="D89" s="18">
        <f t="shared" si="4"/>
        <v>4.7443624585809016E-2</v>
      </c>
      <c r="E89" s="25">
        <f t="shared" si="5"/>
        <v>0.62956681410299009</v>
      </c>
    </row>
    <row r="90" spans="2:5" x14ac:dyDescent="0.2">
      <c r="B90" s="53">
        <v>0.7</v>
      </c>
      <c r="C90" s="25">
        <f t="shared" si="3"/>
        <v>0.12332041570077479</v>
      </c>
      <c r="D90" s="18">
        <f t="shared" si="4"/>
        <v>4.8671078879736838E-2</v>
      </c>
      <c r="E90" s="25">
        <f t="shared" si="5"/>
        <v>0.63674250890943229</v>
      </c>
    </row>
    <row r="91" spans="2:5" x14ac:dyDescent="0.2">
      <c r="B91" s="295">
        <v>0.71</v>
      </c>
      <c r="C91" s="25">
        <f t="shared" si="3"/>
        <v>0.12445828616952161</v>
      </c>
      <c r="D91" s="18">
        <f t="shared" si="4"/>
        <v>4.9909984452384398E-2</v>
      </c>
      <c r="E91" s="25">
        <f t="shared" si="5"/>
        <v>0.64397962200692205</v>
      </c>
    </row>
    <row r="92" spans="2:5" x14ac:dyDescent="0.2">
      <c r="B92" s="53">
        <v>0.72</v>
      </c>
      <c r="C92" s="25">
        <f t="shared" si="3"/>
        <v>0.12558173869278555</v>
      </c>
      <c r="D92" s="18">
        <f t="shared" si="4"/>
        <v>5.1160196543397755E-2</v>
      </c>
      <c r="E92" s="25">
        <f t="shared" si="5"/>
        <v>0.65128313994766263</v>
      </c>
    </row>
    <row r="93" spans="2:5" x14ac:dyDescent="0.2">
      <c r="B93" s="295">
        <v>0.73</v>
      </c>
      <c r="C93" s="25">
        <f t="shared" si="3"/>
        <v>0.12669088878523113</v>
      </c>
      <c r="D93" s="18">
        <f t="shared" si="4"/>
        <v>5.2421571551558889E-2</v>
      </c>
      <c r="E93" s="25">
        <f t="shared" si="5"/>
        <v>0.6586584395158287</v>
      </c>
    </row>
    <row r="94" spans="2:5" x14ac:dyDescent="0.2">
      <c r="B94" s="53">
        <v>0.74</v>
      </c>
      <c r="C94" s="25">
        <f t="shared" si="3"/>
        <v>0.12778585116791058</v>
      </c>
      <c r="D94" s="18">
        <f t="shared" si="4"/>
        <v>5.3693967026824115E-2</v>
      </c>
      <c r="E94" s="25">
        <f t="shared" si="5"/>
        <v>0.66611134214322498</v>
      </c>
    </row>
    <row r="95" spans="2:5" x14ac:dyDescent="0.2">
      <c r="B95" s="295">
        <v>0.75</v>
      </c>
      <c r="C95" s="25">
        <f t="shared" si="3"/>
        <v>0.12886673977330729</v>
      </c>
      <c r="D95" s="18">
        <f t="shared" si="4"/>
        <v>5.4977241662413245E-2</v>
      </c>
      <c r="E95" s="25">
        <f t="shared" si="5"/>
        <v>0.6736481776669303</v>
      </c>
    </row>
    <row r="96" spans="2:5" x14ac:dyDescent="0.2">
      <c r="B96" s="53">
        <v>0.76</v>
      </c>
      <c r="C96" s="25">
        <f t="shared" si="3"/>
        <v>0.12993366775034759</v>
      </c>
      <c r="D96" s="18">
        <f t="shared" si="4"/>
        <v>5.6271255286948922E-2</v>
      </c>
      <c r="E96" s="25">
        <f t="shared" si="5"/>
        <v>0.68127585952563152</v>
      </c>
    </row>
    <row r="97" spans="2:5" x14ac:dyDescent="0.2">
      <c r="B97" s="295">
        <v>0.77</v>
      </c>
      <c r="C97" s="25">
        <f t="shared" si="3"/>
        <v>0.1309867474693831</v>
      </c>
      <c r="D97" s="18">
        <f t="shared" si="4"/>
        <v>5.7575868856646104E-2</v>
      </c>
      <c r="E97" s="25">
        <f t="shared" si="5"/>
        <v>0.68900197406529107</v>
      </c>
    </row>
    <row r="98" spans="2:5" x14ac:dyDescent="0.2">
      <c r="B98" s="53">
        <v>0.78</v>
      </c>
      <c r="C98" s="25">
        <f t="shared" si="3"/>
        <v>0.13202609052714209</v>
      </c>
      <c r="D98" s="18">
        <f t="shared" si="4"/>
        <v>5.8890944447551039E-2</v>
      </c>
      <c r="E98" s="25">
        <f t="shared" si="5"/>
        <v>0.69683488738857835</v>
      </c>
    </row>
    <row r="99" spans="2:5" x14ac:dyDescent="0.2">
      <c r="B99" s="295">
        <v>0.79</v>
      </c>
      <c r="C99" s="25">
        <f t="shared" si="3"/>
        <v>0.13305180775165135</v>
      </c>
      <c r="D99" s="18">
        <f t="shared" si="4"/>
        <v>6.0216345247829657E-2</v>
      </c>
      <c r="E99" s="25">
        <f t="shared" si="5"/>
        <v>0.70478387421048083</v>
      </c>
    </row>
    <row r="100" spans="2:5" x14ac:dyDescent="0.2">
      <c r="B100" s="53">
        <v>0.8</v>
      </c>
      <c r="C100" s="25">
        <f t="shared" si="3"/>
        <v>0.13406400920712785</v>
      </c>
      <c r="D100" s="18">
        <f t="shared" si="4"/>
        <v>6.1551935550104991E-2</v>
      </c>
      <c r="E100" s="25">
        <f t="shared" si="5"/>
        <v>0.71285927458325959</v>
      </c>
    </row>
    <row r="101" spans="2:5" x14ac:dyDescent="0.2">
      <c r="B101" s="295">
        <v>0.81</v>
      </c>
      <c r="C101" s="25">
        <f t="shared" si="3"/>
        <v>0.13506280419884106</v>
      </c>
      <c r="D101" s="18">
        <f t="shared" si="4"/>
        <v>6.2897580743843468E-2</v>
      </c>
      <c r="E101" s="25">
        <f t="shared" si="5"/>
        <v>0.72107268628830856</v>
      </c>
    </row>
    <row r="102" spans="2:5" x14ac:dyDescent="0.2">
      <c r="B102" s="53">
        <v>0.82</v>
      </c>
      <c r="C102" s="25">
        <f t="shared" si="3"/>
        <v>0.13604830127794545</v>
      </c>
      <c r="D102" s="18">
        <f t="shared" si="4"/>
        <v>6.4253147307789693E-2</v>
      </c>
      <c r="E102" s="25">
        <f t="shared" si="5"/>
        <v>0.72943720340325746</v>
      </c>
    </row>
    <row r="103" spans="2:5" x14ac:dyDescent="0.2">
      <c r="B103" s="295">
        <v>0.83</v>
      </c>
      <c r="C103" s="25">
        <f t="shared" si="3"/>
        <v>0.13702060824628393</v>
      </c>
      <c r="D103" s="18">
        <f t="shared" si="4"/>
        <v>6.56185028024492E-2</v>
      </c>
      <c r="E103" s="25">
        <f t="shared" si="5"/>
        <v>0.73796771541295958</v>
      </c>
    </row>
    <row r="104" spans="2:5" x14ac:dyDescent="0.2">
      <c r="B104" s="53">
        <v>0.84</v>
      </c>
      <c r="C104" s="25">
        <f t="shared" si="3"/>
        <v>0.13797983216116194</v>
      </c>
      <c r="D104" s="18">
        <f t="shared" si="4"/>
        <v>6.6993515862619354E-2</v>
      </c>
      <c r="E104" s="25">
        <f t="shared" si="5"/>
        <v>0.74668128682845081</v>
      </c>
    </row>
    <row r="105" spans="2:5" x14ac:dyDescent="0.2">
      <c r="B105" s="295">
        <v>0.85</v>
      </c>
      <c r="C105" s="25">
        <f t="shared" si="3"/>
        <v>0.13892607934009255</v>
      </c>
      <c r="D105" s="18">
        <f t="shared" si="4"/>
        <v>6.8378056189967645E-2</v>
      </c>
      <c r="E105" s="25">
        <f t="shared" si="5"/>
        <v>0.75559764554907771</v>
      </c>
    </row>
    <row r="106" spans="2:5" x14ac:dyDescent="0.2">
      <c r="B106" s="53">
        <v>0.86</v>
      </c>
      <c r="C106" s="25">
        <f t="shared" si="3"/>
        <v>0.13985945536551306</v>
      </c>
      <c r="D106" s="18">
        <f t="shared" si="4"/>
        <v>6.9771994545657329E-2</v>
      </c>
      <c r="E106" s="25">
        <f t="shared" si="5"/>
        <v>0.76473982069908897</v>
      </c>
    </row>
    <row r="107" spans="2:5" x14ac:dyDescent="0.2">
      <c r="B107" s="295">
        <v>0.87</v>
      </c>
      <c r="C107" s="25">
        <f t="shared" si="3"/>
        <v>0.14078006508947249</v>
      </c>
      <c r="D107" s="18">
        <f t="shared" si="4"/>
        <v>7.1175202743020347E-2</v>
      </c>
      <c r="E107" s="25">
        <f t="shared" si="5"/>
        <v>0.77413499001698693</v>
      </c>
    </row>
    <row r="108" spans="2:5" x14ac:dyDescent="0.2">
      <c r="B108" s="53">
        <v>0.88</v>
      </c>
      <c r="C108" s="25">
        <f t="shared" si="3"/>
        <v>0.14168801263829109</v>
      </c>
      <c r="D108" s="18">
        <f t="shared" si="4"/>
        <v>7.2587553640276414E-2</v>
      </c>
      <c r="E108" s="25">
        <f t="shared" si="5"/>
        <v>0.78381562766893009</v>
      </c>
    </row>
    <row r="109" spans="2:5" x14ac:dyDescent="0.2">
      <c r="B109" s="295">
        <v>0.89</v>
      </c>
      <c r="C109" s="25">
        <f t="shared" si="3"/>
        <v>0.14258340141719095</v>
      </c>
      <c r="D109" s="18">
        <f t="shared" si="4"/>
        <v>7.4008921133299377E-2</v>
      </c>
      <c r="E109" s="25">
        <f t="shared" si="5"/>
        <v>0.79382109393424627</v>
      </c>
    </row>
    <row r="110" spans="2:5" x14ac:dyDescent="0.2">
      <c r="B110" s="53">
        <v>0.9</v>
      </c>
      <c r="C110" s="25">
        <f t="shared" si="3"/>
        <v>0.14346633411489898</v>
      </c>
      <c r="D110" s="18">
        <f t="shared" si="4"/>
        <v>7.5439180148428722E-2</v>
      </c>
      <c r="E110" s="25">
        <f t="shared" si="5"/>
        <v>0.80419989434090833</v>
      </c>
    </row>
    <row r="111" spans="2:5" x14ac:dyDescent="0.2">
      <c r="B111" s="295">
        <v>0.91</v>
      </c>
      <c r="C111" s="25">
        <f t="shared" si="3"/>
        <v>0.14433691270822191</v>
      </c>
      <c r="D111" s="18">
        <f t="shared" si="4"/>
        <v>7.6878206635328003E-2</v>
      </c>
      <c r="E111" s="25">
        <f t="shared" si="5"/>
        <v>0.81501298880104389</v>
      </c>
    </row>
    <row r="112" spans="2:5" x14ac:dyDescent="0.2">
      <c r="B112" s="53">
        <v>0.92</v>
      </c>
      <c r="C112" s="25">
        <f t="shared" si="3"/>
        <v>0.14519523846659299</v>
      </c>
      <c r="D112" s="18">
        <f t="shared" si="4"/>
        <v>7.832587755988811E-2</v>
      </c>
      <c r="E112" s="25">
        <f t="shared" si="5"/>
        <v>0.8263388167835064</v>
      </c>
    </row>
    <row r="113" spans="2:5" x14ac:dyDescent="0.2">
      <c r="B113" s="295">
        <v>0.93</v>
      </c>
      <c r="C113" s="25">
        <f t="shared" si="3"/>
        <v>0.14604141195659145</v>
      </c>
      <c r="D113" s="18">
        <f t="shared" si="4"/>
        <v>7.9782070897176191E-2</v>
      </c>
      <c r="E113" s="25">
        <f t="shared" si="5"/>
        <v>0.83828126993185192</v>
      </c>
    </row>
    <row r="114" spans="2:5" x14ac:dyDescent="0.2">
      <c r="B114" s="53">
        <v>0.94</v>
      </c>
      <c r="C114" s="25">
        <f t="shared" si="3"/>
        <v>0.14687553304643466</v>
      </c>
      <c r="D114" s="18">
        <f t="shared" si="4"/>
        <v>8.1246665624429823E-2</v>
      </c>
      <c r="E114" s="25">
        <f t="shared" si="5"/>
        <v>0.85098304745467368</v>
      </c>
    </row>
    <row r="115" spans="2:5" x14ac:dyDescent="0.2">
      <c r="B115" s="295">
        <v>0.95</v>
      </c>
      <c r="C115" s="25">
        <f t="shared" si="3"/>
        <v>0.14769770091044221</v>
      </c>
      <c r="D115" s="18">
        <f t="shared" si="4"/>
        <v>8.2719541714095346E-2</v>
      </c>
      <c r="E115" s="25">
        <f t="shared" si="5"/>
        <v>0.86464963782841608</v>
      </c>
    </row>
    <row r="116" spans="2:5" x14ac:dyDescent="0.2">
      <c r="B116" s="53">
        <v>0.96</v>
      </c>
      <c r="C116" s="25">
        <f t="shared" si="3"/>
        <v>0.14850801403347383</v>
      </c>
      <c r="D116" s="18">
        <f t="shared" si="4"/>
        <v>8.4200580126911534E-2</v>
      </c>
      <c r="E116" s="25">
        <f t="shared" si="5"/>
        <v>0.8795965451350104</v>
      </c>
    </row>
    <row r="117" spans="2:5" x14ac:dyDescent="0.2">
      <c r="B117" s="295">
        <v>0.97</v>
      </c>
      <c r="C117" s="25">
        <f t="shared" si="3"/>
        <v>0.14930657021533911</v>
      </c>
      <c r="D117" s="18">
        <f t="shared" si="4"/>
        <v>8.5689662805036593E-2</v>
      </c>
      <c r="E117" s="25">
        <f t="shared" si="5"/>
        <v>0.89635516075048716</v>
      </c>
    </row>
    <row r="118" spans="2:5" x14ac:dyDescent="0.2">
      <c r="B118" s="53">
        <v>0.98</v>
      </c>
      <c r="C118" s="25">
        <f t="shared" si="3"/>
        <v>0.15009346657518194</v>
      </c>
      <c r="D118" s="18">
        <f t="shared" si="4"/>
        <v>8.718667266522008E-2</v>
      </c>
      <c r="E118" s="25">
        <f t="shared" si="5"/>
        <v>0.91596230060675832</v>
      </c>
    </row>
    <row r="119" spans="2:5" x14ac:dyDescent="0.2">
      <c r="B119" s="295">
        <v>0.99</v>
      </c>
      <c r="C119" s="25">
        <f t="shared" si="3"/>
        <v>0.15086879955583651</v>
      </c>
      <c r="D119" s="18">
        <f t="shared" si="4"/>
        <v>8.8691493592017598E-2</v>
      </c>
      <c r="E119" s="25">
        <f t="shared" si="5"/>
        <v>0.94109686422180472</v>
      </c>
    </row>
    <row r="120" spans="2:5" ht="13.5" thickBot="1" x14ac:dyDescent="0.25">
      <c r="B120" s="297">
        <v>1</v>
      </c>
      <c r="C120" s="25">
        <f t="shared" si="3"/>
        <v>0.15163266492815836</v>
      </c>
      <c r="D120" s="18">
        <f t="shared" si="4"/>
        <v>9.0204010431049864E-2</v>
      </c>
      <c r="E120" s="301"/>
    </row>
  </sheetData>
  <mergeCells count="9">
    <mergeCell ref="E12:F12"/>
    <mergeCell ref="G19:I21"/>
    <mergeCell ref="D4:I4"/>
    <mergeCell ref="C5:I5"/>
    <mergeCell ref="C18:D18"/>
    <mergeCell ref="E8:F8"/>
    <mergeCell ref="E9:F9"/>
    <mergeCell ref="E10:F10"/>
    <mergeCell ref="E11:F11"/>
  </mergeCells>
  <phoneticPr fontId="5" type="noConversion"/>
  <pageMargins left="0.78740157499999996" right="0.78740157499999996" top="0.984251969" bottom="0.984251969" header="0.4921259845" footer="0.492125984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topLeftCell="B1" workbookViewId="0">
      <selection activeCell="G16" sqref="G16"/>
    </sheetView>
  </sheetViews>
  <sheetFormatPr baseColWidth="10" defaultRowHeight="12.75" x14ac:dyDescent="0.2"/>
  <cols>
    <col min="1" max="1" width="3.5703125" customWidth="1"/>
    <col min="2" max="2" width="18" customWidth="1"/>
    <col min="3" max="3" width="15.5703125" customWidth="1"/>
    <col min="4" max="4" width="17.140625" customWidth="1"/>
    <col min="5" max="5" width="14.28515625" customWidth="1"/>
    <col min="6" max="6" width="22.85546875" customWidth="1"/>
    <col min="8" max="8" width="18" customWidth="1"/>
  </cols>
  <sheetData>
    <row r="1" spans="1:13" ht="15.75" x14ac:dyDescent="0.25">
      <c r="B1" s="10" t="s">
        <v>8</v>
      </c>
      <c r="C1" s="11"/>
      <c r="D1" s="61"/>
      <c r="E1" s="12" t="s">
        <v>404</v>
      </c>
      <c r="F1" s="61"/>
      <c r="G1" s="61"/>
      <c r="H1" s="61"/>
      <c r="I1" s="61"/>
      <c r="J1" s="61"/>
      <c r="K1" s="61"/>
      <c r="L1" s="61"/>
      <c r="M1" s="61"/>
    </row>
    <row r="2" spans="1:13" ht="15.75" x14ac:dyDescent="0.25">
      <c r="B2" s="10" t="s">
        <v>16</v>
      </c>
      <c r="C2" s="11"/>
      <c r="D2" s="61"/>
      <c r="E2" s="12" t="s">
        <v>406</v>
      </c>
      <c r="F2" s="61"/>
      <c r="G2" s="61"/>
      <c r="H2" s="61"/>
      <c r="I2" s="61"/>
      <c r="J2" s="61"/>
      <c r="K2" s="61"/>
      <c r="L2" s="61"/>
      <c r="M2" s="61"/>
    </row>
    <row r="3" spans="1:13" ht="15" x14ac:dyDescent="0.2">
      <c r="B3" s="10" t="s">
        <v>17</v>
      </c>
      <c r="C3" s="11"/>
      <c r="D3" s="61"/>
      <c r="E3" s="10" t="s">
        <v>18</v>
      </c>
      <c r="F3" s="61"/>
      <c r="G3" s="61"/>
      <c r="H3" s="61"/>
      <c r="I3" s="61"/>
      <c r="J3" s="61"/>
      <c r="K3" s="61"/>
      <c r="L3" s="61"/>
      <c r="M3" s="61"/>
    </row>
    <row r="4" spans="1:13" ht="15" x14ac:dyDescent="0.2">
      <c r="B4" s="10" t="s">
        <v>19</v>
      </c>
      <c r="C4" s="11"/>
      <c r="D4" s="61"/>
      <c r="E4" s="612" t="s">
        <v>591</v>
      </c>
      <c r="F4" s="619"/>
      <c r="G4" s="619"/>
      <c r="H4" s="619"/>
      <c r="I4" s="61"/>
      <c r="J4" s="61"/>
      <c r="K4" s="61"/>
      <c r="L4" s="61"/>
      <c r="M4" s="61"/>
    </row>
    <row r="5" spans="1:13" ht="99" customHeight="1" x14ac:dyDescent="0.2">
      <c r="B5" s="13" t="s">
        <v>20</v>
      </c>
      <c r="C5" s="61"/>
      <c r="D5" s="611" t="s">
        <v>590</v>
      </c>
      <c r="E5" s="600"/>
      <c r="F5" s="600"/>
      <c r="G5" s="600"/>
      <c r="H5" s="600"/>
      <c r="I5" s="61"/>
      <c r="J5" s="61"/>
      <c r="K5" s="61"/>
      <c r="L5" s="61"/>
      <c r="M5" s="61"/>
    </row>
    <row r="6" spans="1:13" s="5" customFormat="1" ht="15.95" customHeight="1" x14ac:dyDescent="0.2">
      <c r="B6" s="538"/>
      <c r="D6" s="539"/>
      <c r="E6" s="189"/>
      <c r="F6" s="189"/>
      <c r="G6" s="189"/>
      <c r="H6" s="189"/>
    </row>
    <row r="7" spans="1:13" s="5" customFormat="1" ht="15.95" customHeight="1" thickBot="1" x14ac:dyDescent="0.25">
      <c r="B7" s="545" t="s">
        <v>407</v>
      </c>
      <c r="C7" s="546"/>
      <c r="D7" s="541"/>
      <c r="E7" s="542"/>
      <c r="F7" s="542"/>
      <c r="G7" s="189"/>
      <c r="H7" s="189"/>
    </row>
    <row r="8" spans="1:13" s="5" customFormat="1" ht="15.95" customHeight="1" thickBot="1" x14ac:dyDescent="0.25">
      <c r="A8" s="19"/>
      <c r="B8" s="522" t="s">
        <v>344</v>
      </c>
      <c r="C8" s="522"/>
      <c r="D8" s="552"/>
      <c r="E8" s="620" t="s">
        <v>343</v>
      </c>
      <c r="F8" s="607"/>
      <c r="G8" s="189"/>
      <c r="H8" s="189"/>
    </row>
    <row r="9" spans="1:13" s="5" customFormat="1" ht="15.95" customHeight="1" x14ac:dyDescent="0.2">
      <c r="A9" s="19"/>
      <c r="B9" s="5" t="s">
        <v>347</v>
      </c>
      <c r="C9" s="539"/>
      <c r="D9" s="543"/>
      <c r="E9" s="615">
        <v>2</v>
      </c>
      <c r="F9" s="607"/>
      <c r="G9" s="189"/>
      <c r="H9" s="189"/>
    </row>
    <row r="10" spans="1:13" s="5" customFormat="1" ht="15.95" customHeight="1" x14ac:dyDescent="0.2">
      <c r="A10" s="19"/>
      <c r="B10" s="547" t="s">
        <v>346</v>
      </c>
      <c r="C10" s="548"/>
      <c r="D10" s="161"/>
      <c r="E10" s="616">
        <v>8</v>
      </c>
      <c r="F10" s="607"/>
      <c r="G10" s="189"/>
      <c r="H10" s="189"/>
    </row>
    <row r="11" spans="1:13" s="5" customFormat="1" ht="15.95" customHeight="1" x14ac:dyDescent="0.2">
      <c r="A11" s="19"/>
      <c r="B11" s="623" t="s">
        <v>346</v>
      </c>
      <c r="C11" s="600"/>
      <c r="D11" s="607"/>
      <c r="E11" s="615">
        <v>10</v>
      </c>
      <c r="F11" s="607"/>
      <c r="G11" s="189"/>
      <c r="H11" s="189"/>
    </row>
    <row r="12" spans="1:13" s="5" customFormat="1" ht="15.95" customHeight="1" x14ac:dyDescent="0.2">
      <c r="A12" s="19"/>
      <c r="B12" s="547" t="s">
        <v>592</v>
      </c>
      <c r="C12" s="548"/>
      <c r="D12" s="161"/>
      <c r="E12" s="616" t="b">
        <v>1</v>
      </c>
      <c r="F12" s="607"/>
      <c r="G12" s="594"/>
      <c r="H12" s="594"/>
    </row>
    <row r="13" spans="1:13" s="5" customFormat="1" ht="15.95" customHeight="1" x14ac:dyDescent="0.2">
      <c r="A13" s="19"/>
      <c r="B13" s="623" t="s">
        <v>262</v>
      </c>
      <c r="C13" s="600"/>
      <c r="D13" s="607"/>
      <c r="E13" s="615">
        <v>1</v>
      </c>
      <c r="F13" s="607"/>
      <c r="G13" s="189"/>
      <c r="H13" s="189"/>
    </row>
    <row r="14" spans="1:13" s="5" customFormat="1" ht="15.95" customHeight="1" thickBot="1" x14ac:dyDescent="0.25">
      <c r="A14" s="19"/>
      <c r="B14" s="547" t="s">
        <v>263</v>
      </c>
      <c r="C14" s="548"/>
      <c r="D14" s="161"/>
      <c r="E14" s="616">
        <v>3</v>
      </c>
      <c r="F14" s="607"/>
      <c r="G14" s="189"/>
      <c r="H14" s="189"/>
    </row>
    <row r="15" spans="1:13" s="5" customFormat="1" ht="15.95" customHeight="1" thickBot="1" x14ac:dyDescent="0.3">
      <c r="A15" s="19"/>
      <c r="B15" s="549" t="s">
        <v>404</v>
      </c>
      <c r="C15" s="550"/>
      <c r="D15" s="554"/>
      <c r="E15" s="621">
        <f>_xlfn.BETA.DIST(E9,E10,E11,TRUE,E13,E14)</f>
        <v>0.68547058105468728</v>
      </c>
      <c r="F15" s="622"/>
      <c r="G15" s="189"/>
      <c r="H15" s="189"/>
    </row>
    <row r="16" spans="1:13" s="5" customFormat="1" ht="15.95" customHeight="1" x14ac:dyDescent="0.2">
      <c r="B16" s="540"/>
      <c r="D16" s="539"/>
      <c r="E16" s="581" t="s">
        <v>593</v>
      </c>
      <c r="F16" s="189"/>
      <c r="G16" s="189"/>
      <c r="H16" s="189"/>
    </row>
    <row r="17" spans="2:12" ht="13.5" thickBot="1" x14ac:dyDescent="0.25">
      <c r="B17" s="540"/>
    </row>
    <row r="18" spans="2:12" ht="13.5" thickBot="1" x14ac:dyDescent="0.25">
      <c r="B18" s="597" t="s">
        <v>137</v>
      </c>
      <c r="C18" s="598"/>
      <c r="G18" s="312"/>
      <c r="H18" s="313"/>
      <c r="I18" s="313"/>
    </row>
    <row r="19" spans="2:12" ht="13.5" thickBot="1" x14ac:dyDescent="0.25">
      <c r="B19" s="305" t="s">
        <v>138</v>
      </c>
      <c r="C19" s="306" t="s">
        <v>139</v>
      </c>
      <c r="E19" s="285"/>
      <c r="G19" s="314"/>
      <c r="H19" s="314"/>
      <c r="I19" s="314"/>
      <c r="L19" s="286"/>
    </row>
    <row r="20" spans="2:12" ht="13.5" thickBot="1" x14ac:dyDescent="0.25">
      <c r="B20" s="303">
        <v>2</v>
      </c>
      <c r="C20" s="304">
        <v>2</v>
      </c>
      <c r="E20" s="285"/>
      <c r="G20" s="314"/>
      <c r="H20" s="314"/>
      <c r="I20" s="314"/>
      <c r="L20" s="286"/>
    </row>
    <row r="21" spans="2:12" ht="13.5" thickBot="1" x14ac:dyDescent="0.25">
      <c r="B21" s="287"/>
      <c r="C21" s="287"/>
      <c r="E21" s="285"/>
      <c r="G21" s="314"/>
      <c r="H21" s="314"/>
      <c r="I21" s="314"/>
      <c r="L21" s="288"/>
    </row>
    <row r="22" spans="2:12" ht="13.5" thickBot="1" x14ac:dyDescent="0.25">
      <c r="B22" s="299" t="s">
        <v>132</v>
      </c>
      <c r="C22" s="315" t="s">
        <v>404</v>
      </c>
      <c r="D22" s="300" t="s">
        <v>141</v>
      </c>
      <c r="E22" s="287"/>
      <c r="G22" s="6"/>
      <c r="H22" s="6"/>
      <c r="I22" s="310"/>
      <c r="L22" s="288"/>
    </row>
    <row r="23" spans="2:12" x14ac:dyDescent="0.2">
      <c r="B23" s="53">
        <v>0</v>
      </c>
      <c r="C23" s="24">
        <f>_xlfn.BETA.DIST(B23,$B$20,TRUE,$C$20)</f>
        <v>0</v>
      </c>
      <c r="D23" s="302"/>
      <c r="E23" s="6"/>
      <c r="G23" s="6"/>
      <c r="H23" s="6"/>
      <c r="I23" s="39"/>
      <c r="L23" s="1"/>
    </row>
    <row r="24" spans="2:12" x14ac:dyDescent="0.2">
      <c r="B24" s="295">
        <v>0.01</v>
      </c>
      <c r="C24" s="25">
        <f>_xlfn.BETA.DIST(B24,$B$20,$C$20,TRUE)</f>
        <v>2.9800000000000025E-4</v>
      </c>
      <c r="D24" s="25">
        <f>C24-C23</f>
        <v>2.9800000000000025E-4</v>
      </c>
      <c r="E24" s="316"/>
      <c r="F24" s="1"/>
      <c r="G24" s="6"/>
      <c r="H24" s="6"/>
      <c r="I24" s="39"/>
      <c r="L24" s="292"/>
    </row>
    <row r="25" spans="2:12" x14ac:dyDescent="0.2">
      <c r="B25" s="53">
        <v>0.02</v>
      </c>
      <c r="C25" s="24">
        <f t="shared" ref="C25:C88" si="0">_xlfn.BETA.DIST(B25,$B$20,$C$20,TRUE)</f>
        <v>1.1840000000000004E-3</v>
      </c>
      <c r="D25" s="24">
        <f t="shared" ref="D25:D88" si="1">C25-C24</f>
        <v>8.8600000000000007E-4</v>
      </c>
      <c r="E25" s="316"/>
      <c r="G25" s="120"/>
      <c r="H25" s="120"/>
      <c r="I25" s="311"/>
      <c r="L25" s="82"/>
    </row>
    <row r="26" spans="2:12" x14ac:dyDescent="0.2">
      <c r="B26" s="295">
        <v>0.03</v>
      </c>
      <c r="C26" s="25">
        <f t="shared" si="0"/>
        <v>2.6459999999999995E-3</v>
      </c>
      <c r="D26" s="25">
        <f t="shared" si="1"/>
        <v>1.4619999999999991E-3</v>
      </c>
      <c r="E26" s="316"/>
      <c r="L26" s="82"/>
    </row>
    <row r="27" spans="2:12" x14ac:dyDescent="0.2">
      <c r="B27" s="53">
        <v>0.04</v>
      </c>
      <c r="C27" s="24">
        <f t="shared" si="0"/>
        <v>4.6720000000000025E-3</v>
      </c>
      <c r="D27" s="24">
        <f t="shared" si="1"/>
        <v>2.0260000000000031E-3</v>
      </c>
      <c r="E27" s="316"/>
      <c r="L27" s="1"/>
    </row>
    <row r="28" spans="2:12" x14ac:dyDescent="0.2">
      <c r="B28" s="295">
        <v>0.05</v>
      </c>
      <c r="C28" s="25">
        <f t="shared" si="0"/>
        <v>7.2500000000000012E-3</v>
      </c>
      <c r="D28" s="25">
        <f t="shared" si="1"/>
        <v>2.5779999999999987E-3</v>
      </c>
      <c r="E28" s="316"/>
      <c r="L28" s="293"/>
    </row>
    <row r="29" spans="2:12" x14ac:dyDescent="0.2">
      <c r="B29" s="53">
        <v>0.06</v>
      </c>
      <c r="C29" s="24">
        <f t="shared" si="0"/>
        <v>1.0367999999999999E-2</v>
      </c>
      <c r="D29" s="24">
        <f t="shared" si="1"/>
        <v>3.1179999999999975E-3</v>
      </c>
      <c r="E29" s="316"/>
    </row>
    <row r="30" spans="2:12" x14ac:dyDescent="0.2">
      <c r="B30" s="295">
        <v>7.0000000000000007E-2</v>
      </c>
      <c r="C30" s="25">
        <f t="shared" si="0"/>
        <v>1.4014000000000006E-2</v>
      </c>
      <c r="D30" s="25">
        <f t="shared" si="1"/>
        <v>3.6460000000000069E-3</v>
      </c>
      <c r="E30" s="316"/>
    </row>
    <row r="31" spans="2:12" x14ac:dyDescent="0.2">
      <c r="B31" s="53">
        <v>0.08</v>
      </c>
      <c r="C31" s="24">
        <f t="shared" si="0"/>
        <v>1.8175999999999991E-2</v>
      </c>
      <c r="D31" s="24">
        <f t="shared" si="1"/>
        <v>4.1619999999999852E-3</v>
      </c>
      <c r="E31" s="316"/>
    </row>
    <row r="32" spans="2:12" x14ac:dyDescent="0.2">
      <c r="B32" s="295">
        <v>0.09</v>
      </c>
      <c r="C32" s="25">
        <f t="shared" si="0"/>
        <v>2.2841999999999987E-2</v>
      </c>
      <c r="D32" s="25">
        <f t="shared" si="1"/>
        <v>4.6659999999999965E-3</v>
      </c>
      <c r="E32" s="316"/>
    </row>
    <row r="33" spans="2:5" x14ac:dyDescent="0.2">
      <c r="B33" s="53">
        <v>0.1</v>
      </c>
      <c r="C33" s="24">
        <f t="shared" si="0"/>
        <v>2.8000000000000011E-2</v>
      </c>
      <c r="D33" s="24">
        <f t="shared" si="1"/>
        <v>5.1580000000000237E-3</v>
      </c>
      <c r="E33" s="316"/>
    </row>
    <row r="34" spans="2:5" x14ac:dyDescent="0.2">
      <c r="B34" s="295">
        <v>0.11</v>
      </c>
      <c r="C34" s="25">
        <f t="shared" si="0"/>
        <v>3.3638000000000001E-2</v>
      </c>
      <c r="D34" s="25">
        <f t="shared" si="1"/>
        <v>5.6379999999999902E-3</v>
      </c>
      <c r="E34" s="316"/>
    </row>
    <row r="35" spans="2:5" x14ac:dyDescent="0.2">
      <c r="B35" s="53">
        <v>0.12</v>
      </c>
      <c r="C35" s="24">
        <f t="shared" si="0"/>
        <v>3.9744000000000002E-2</v>
      </c>
      <c r="D35" s="24">
        <f t="shared" si="1"/>
        <v>6.1060000000000003E-3</v>
      </c>
      <c r="E35" s="316"/>
    </row>
    <row r="36" spans="2:5" x14ac:dyDescent="0.2">
      <c r="B36" s="295">
        <v>0.13</v>
      </c>
      <c r="C36" s="25">
        <f t="shared" si="0"/>
        <v>4.6306E-2</v>
      </c>
      <c r="D36" s="25">
        <f t="shared" si="1"/>
        <v>6.5619999999999984E-3</v>
      </c>
      <c r="E36" s="316"/>
    </row>
    <row r="37" spans="2:5" x14ac:dyDescent="0.2">
      <c r="B37" s="53">
        <v>0.14000000000000001</v>
      </c>
      <c r="C37" s="24">
        <f t="shared" si="0"/>
        <v>5.3311999999999998E-2</v>
      </c>
      <c r="D37" s="24">
        <f t="shared" si="1"/>
        <v>7.0059999999999983E-3</v>
      </c>
      <c r="E37" s="316"/>
    </row>
    <row r="38" spans="2:5" x14ac:dyDescent="0.2">
      <c r="B38" s="295">
        <v>0.15</v>
      </c>
      <c r="C38" s="25">
        <f t="shared" si="0"/>
        <v>6.0750000000000005E-2</v>
      </c>
      <c r="D38" s="25">
        <f t="shared" si="1"/>
        <v>7.4380000000000071E-3</v>
      </c>
      <c r="E38" s="316"/>
    </row>
    <row r="39" spans="2:5" x14ac:dyDescent="0.2">
      <c r="B39" s="53">
        <v>0.16</v>
      </c>
      <c r="C39" s="24">
        <f t="shared" si="0"/>
        <v>6.8607999999999975E-2</v>
      </c>
      <c r="D39" s="24">
        <f t="shared" si="1"/>
        <v>7.8579999999999692E-3</v>
      </c>
      <c r="E39" s="316"/>
    </row>
    <row r="40" spans="2:5" x14ac:dyDescent="0.2">
      <c r="B40" s="295">
        <v>0.17</v>
      </c>
      <c r="C40" s="25">
        <f t="shared" si="0"/>
        <v>7.6874000000000012E-2</v>
      </c>
      <c r="D40" s="25">
        <f t="shared" si="1"/>
        <v>8.2660000000000372E-3</v>
      </c>
      <c r="E40" s="316"/>
    </row>
    <row r="41" spans="2:5" x14ac:dyDescent="0.2">
      <c r="B41" s="53">
        <v>0.18</v>
      </c>
      <c r="C41" s="24">
        <f t="shared" si="0"/>
        <v>8.5536000000000015E-2</v>
      </c>
      <c r="D41" s="24">
        <f t="shared" si="1"/>
        <v>8.662000000000003E-3</v>
      </c>
      <c r="E41" s="316"/>
    </row>
    <row r="42" spans="2:5" x14ac:dyDescent="0.2">
      <c r="B42" s="295">
        <v>0.19</v>
      </c>
      <c r="C42" s="25">
        <f t="shared" si="0"/>
        <v>9.4581999999999999E-2</v>
      </c>
      <c r="D42" s="25">
        <f t="shared" si="1"/>
        <v>9.0459999999999846E-3</v>
      </c>
      <c r="E42" s="316"/>
    </row>
    <row r="43" spans="2:5" x14ac:dyDescent="0.2">
      <c r="B43" s="53">
        <v>0.2</v>
      </c>
      <c r="C43" s="24">
        <f t="shared" si="0"/>
        <v>0.10400000000000002</v>
      </c>
      <c r="D43" s="24">
        <f t="shared" si="1"/>
        <v>9.4180000000000236E-3</v>
      </c>
      <c r="E43" s="316"/>
    </row>
    <row r="44" spans="2:5" x14ac:dyDescent="0.2">
      <c r="B44" s="295">
        <v>0.21</v>
      </c>
      <c r="C44" s="25">
        <f t="shared" si="0"/>
        <v>0.113778</v>
      </c>
      <c r="D44" s="25">
        <f t="shared" si="1"/>
        <v>9.7779999999999812E-3</v>
      </c>
      <c r="E44" s="316"/>
    </row>
    <row r="45" spans="2:5" x14ac:dyDescent="0.2">
      <c r="B45" s="53">
        <v>0.22</v>
      </c>
      <c r="C45" s="24">
        <f t="shared" si="0"/>
        <v>0.12390399999999999</v>
      </c>
      <c r="D45" s="24">
        <f t="shared" si="1"/>
        <v>1.0125999999999982E-2</v>
      </c>
      <c r="E45" s="316"/>
    </row>
    <row r="46" spans="2:5" x14ac:dyDescent="0.2">
      <c r="B46" s="295">
        <v>0.23</v>
      </c>
      <c r="C46" s="25">
        <f t="shared" si="0"/>
        <v>0.13436599999999999</v>
      </c>
      <c r="D46" s="25">
        <f t="shared" si="1"/>
        <v>1.0461999999999999E-2</v>
      </c>
      <c r="E46" s="316"/>
    </row>
    <row r="47" spans="2:5" x14ac:dyDescent="0.2">
      <c r="B47" s="53">
        <v>0.24</v>
      </c>
      <c r="C47" s="24">
        <f t="shared" si="0"/>
        <v>0.14515199999999995</v>
      </c>
      <c r="D47" s="24">
        <f t="shared" si="1"/>
        <v>1.0785999999999962E-2</v>
      </c>
      <c r="E47" s="316"/>
    </row>
    <row r="48" spans="2:5" x14ac:dyDescent="0.2">
      <c r="B48" s="295">
        <v>0.25</v>
      </c>
      <c r="C48" s="25">
        <f t="shared" si="0"/>
        <v>0.15625</v>
      </c>
      <c r="D48" s="25">
        <f t="shared" si="1"/>
        <v>1.1098000000000052E-2</v>
      </c>
      <c r="E48" s="316"/>
    </row>
    <row r="49" spans="2:5" x14ac:dyDescent="0.2">
      <c r="B49" s="53">
        <v>0.26</v>
      </c>
      <c r="C49" s="24">
        <f t="shared" si="0"/>
        <v>0.16764800000000002</v>
      </c>
      <c r="D49" s="24">
        <f t="shared" si="1"/>
        <v>1.1398000000000019E-2</v>
      </c>
      <c r="E49" s="316"/>
    </row>
    <row r="50" spans="2:5" x14ac:dyDescent="0.2">
      <c r="B50" s="295">
        <v>0.27</v>
      </c>
      <c r="C50" s="25">
        <f t="shared" si="0"/>
        <v>0.17933399999999999</v>
      </c>
      <c r="D50" s="25">
        <f t="shared" si="1"/>
        <v>1.1685999999999974E-2</v>
      </c>
      <c r="E50" s="316"/>
    </row>
    <row r="51" spans="2:5" x14ac:dyDescent="0.2">
      <c r="B51" s="53">
        <v>0.28000000000000003</v>
      </c>
      <c r="C51" s="24">
        <f t="shared" si="0"/>
        <v>0.19129600000000005</v>
      </c>
      <c r="D51" s="24">
        <f t="shared" si="1"/>
        <v>1.1962000000000056E-2</v>
      </c>
      <c r="E51" s="316"/>
    </row>
    <row r="52" spans="2:5" x14ac:dyDescent="0.2">
      <c r="B52" s="295">
        <v>0.28999999999999998</v>
      </c>
      <c r="C52" s="25">
        <f t="shared" si="0"/>
        <v>0.20352199999999993</v>
      </c>
      <c r="D52" s="25">
        <f t="shared" si="1"/>
        <v>1.2225999999999876E-2</v>
      </c>
      <c r="E52" s="316"/>
    </row>
    <row r="53" spans="2:5" x14ac:dyDescent="0.2">
      <c r="B53" s="53">
        <v>0.3</v>
      </c>
      <c r="C53" s="24">
        <f t="shared" si="0"/>
        <v>0.21599999999999994</v>
      </c>
      <c r="D53" s="24">
        <f t="shared" si="1"/>
        <v>1.2478000000000017E-2</v>
      </c>
      <c r="E53" s="316"/>
    </row>
    <row r="54" spans="2:5" x14ac:dyDescent="0.2">
      <c r="B54" s="295">
        <v>0.31</v>
      </c>
      <c r="C54" s="25">
        <f t="shared" si="0"/>
        <v>0.228718</v>
      </c>
      <c r="D54" s="25">
        <f t="shared" si="1"/>
        <v>1.2718000000000063E-2</v>
      </c>
      <c r="E54" s="316"/>
    </row>
    <row r="55" spans="2:5" x14ac:dyDescent="0.2">
      <c r="B55" s="53">
        <v>0.32</v>
      </c>
      <c r="C55" s="24">
        <f t="shared" si="0"/>
        <v>0.24166399999999996</v>
      </c>
      <c r="D55" s="24">
        <f t="shared" si="1"/>
        <v>1.2945999999999958E-2</v>
      </c>
      <c r="E55" s="316"/>
    </row>
    <row r="56" spans="2:5" x14ac:dyDescent="0.2">
      <c r="B56" s="295">
        <v>0.33</v>
      </c>
      <c r="C56" s="25">
        <f t="shared" si="0"/>
        <v>0.254826</v>
      </c>
      <c r="D56" s="25">
        <f t="shared" si="1"/>
        <v>1.3162000000000035E-2</v>
      </c>
      <c r="E56" s="316"/>
    </row>
    <row r="57" spans="2:5" x14ac:dyDescent="0.2">
      <c r="B57" s="53">
        <v>0.34</v>
      </c>
      <c r="C57" s="24">
        <f t="shared" si="0"/>
        <v>0.2681920000000001</v>
      </c>
      <c r="D57" s="24">
        <f t="shared" si="1"/>
        <v>1.33660000000001E-2</v>
      </c>
      <c r="E57" s="316"/>
    </row>
    <row r="58" spans="2:5" x14ac:dyDescent="0.2">
      <c r="B58" s="295">
        <v>0.35</v>
      </c>
      <c r="C58" s="25">
        <f t="shared" si="0"/>
        <v>0.28174999999999994</v>
      </c>
      <c r="D58" s="25">
        <f t="shared" si="1"/>
        <v>1.3557999999999848E-2</v>
      </c>
      <c r="E58" s="316"/>
    </row>
    <row r="59" spans="2:5" x14ac:dyDescent="0.2">
      <c r="B59" s="53">
        <v>0.36</v>
      </c>
      <c r="C59" s="24">
        <f t="shared" si="0"/>
        <v>0.29548799999999997</v>
      </c>
      <c r="D59" s="24">
        <f t="shared" si="1"/>
        <v>1.3738000000000028E-2</v>
      </c>
      <c r="E59" s="316"/>
    </row>
    <row r="60" spans="2:5" x14ac:dyDescent="0.2">
      <c r="B60" s="295">
        <v>0.37</v>
      </c>
      <c r="C60" s="25">
        <f t="shared" si="0"/>
        <v>0.309394</v>
      </c>
      <c r="D60" s="25">
        <f t="shared" si="1"/>
        <v>1.3906000000000029E-2</v>
      </c>
      <c r="E60" s="316"/>
    </row>
    <row r="61" spans="2:5" x14ac:dyDescent="0.2">
      <c r="B61" s="53">
        <v>0.38</v>
      </c>
      <c r="C61" s="24">
        <f t="shared" si="0"/>
        <v>0.32345599999999997</v>
      </c>
      <c r="D61" s="24">
        <f t="shared" si="1"/>
        <v>1.4061999999999963E-2</v>
      </c>
      <c r="E61" s="316"/>
    </row>
    <row r="62" spans="2:5" x14ac:dyDescent="0.2">
      <c r="B62" s="295">
        <v>0.39</v>
      </c>
      <c r="C62" s="25">
        <f t="shared" si="0"/>
        <v>0.33766200000000002</v>
      </c>
      <c r="D62" s="25">
        <f t="shared" si="1"/>
        <v>1.4206000000000052E-2</v>
      </c>
      <c r="E62" s="316"/>
    </row>
    <row r="63" spans="2:5" x14ac:dyDescent="0.2">
      <c r="B63" s="53">
        <v>0.4</v>
      </c>
      <c r="C63" s="24">
        <f t="shared" si="0"/>
        <v>0.35199999999999998</v>
      </c>
      <c r="D63" s="24">
        <f t="shared" si="1"/>
        <v>1.4337999999999962E-2</v>
      </c>
      <c r="E63" s="316"/>
    </row>
    <row r="64" spans="2:5" x14ac:dyDescent="0.2">
      <c r="B64" s="295">
        <v>0.41</v>
      </c>
      <c r="C64" s="25">
        <f t="shared" si="0"/>
        <v>0.36645799999999995</v>
      </c>
      <c r="D64" s="25">
        <f t="shared" si="1"/>
        <v>1.4457999999999971E-2</v>
      </c>
      <c r="E64" s="316"/>
    </row>
    <row r="65" spans="2:5" x14ac:dyDescent="0.2">
      <c r="B65" s="53">
        <v>0.42</v>
      </c>
      <c r="C65" s="24">
        <f t="shared" si="0"/>
        <v>0.38102399999999992</v>
      </c>
      <c r="D65" s="24">
        <f t="shared" si="1"/>
        <v>1.4565999999999968E-2</v>
      </c>
      <c r="E65" s="316"/>
    </row>
    <row r="66" spans="2:5" x14ac:dyDescent="0.2">
      <c r="B66" s="295">
        <v>0.43</v>
      </c>
      <c r="C66" s="25">
        <f t="shared" si="0"/>
        <v>0.39568599999999998</v>
      </c>
      <c r="D66" s="25">
        <f t="shared" si="1"/>
        <v>1.4662000000000064E-2</v>
      </c>
      <c r="E66" s="316"/>
    </row>
    <row r="67" spans="2:5" x14ac:dyDescent="0.2">
      <c r="B67" s="53">
        <v>0.44</v>
      </c>
      <c r="C67" s="24">
        <f t="shared" si="0"/>
        <v>0.41043200000000002</v>
      </c>
      <c r="D67" s="24">
        <f t="shared" si="1"/>
        <v>1.4746000000000037E-2</v>
      </c>
      <c r="E67" s="316"/>
    </row>
    <row r="68" spans="2:5" x14ac:dyDescent="0.2">
      <c r="B68" s="295">
        <v>0.45</v>
      </c>
      <c r="C68" s="25">
        <f t="shared" si="0"/>
        <v>0.42525000000000002</v>
      </c>
      <c r="D68" s="25">
        <f t="shared" si="1"/>
        <v>1.4817999999999998E-2</v>
      </c>
      <c r="E68" s="316"/>
    </row>
    <row r="69" spans="2:5" x14ac:dyDescent="0.2">
      <c r="B69" s="53">
        <v>0.46</v>
      </c>
      <c r="C69" s="24">
        <f t="shared" si="0"/>
        <v>0.44012800000000007</v>
      </c>
      <c r="D69" s="24">
        <f t="shared" si="1"/>
        <v>1.4878000000000058E-2</v>
      </c>
      <c r="E69" s="316"/>
    </row>
    <row r="70" spans="2:5" x14ac:dyDescent="0.2">
      <c r="B70" s="295">
        <v>0.47</v>
      </c>
      <c r="C70" s="25">
        <f t="shared" si="0"/>
        <v>0.45505399999999996</v>
      </c>
      <c r="D70" s="25">
        <f t="shared" si="1"/>
        <v>1.4925999999999884E-2</v>
      </c>
      <c r="E70" s="316"/>
    </row>
    <row r="71" spans="2:5" x14ac:dyDescent="0.2">
      <c r="B71" s="53">
        <v>0.48</v>
      </c>
      <c r="C71" s="24">
        <f t="shared" si="0"/>
        <v>0.47001599999999999</v>
      </c>
      <c r="D71" s="24">
        <f t="shared" si="1"/>
        <v>1.4962000000000031E-2</v>
      </c>
      <c r="E71" s="316"/>
    </row>
    <row r="72" spans="2:5" x14ac:dyDescent="0.2">
      <c r="B72" s="295">
        <v>0.49</v>
      </c>
      <c r="C72" s="25">
        <f t="shared" si="0"/>
        <v>0.48500199999999999</v>
      </c>
      <c r="D72" s="25">
        <f t="shared" si="1"/>
        <v>1.4985999999999999E-2</v>
      </c>
      <c r="E72" s="316"/>
    </row>
    <row r="73" spans="2:5" x14ac:dyDescent="0.2">
      <c r="B73" s="53">
        <v>0.5</v>
      </c>
      <c r="C73" s="24">
        <f t="shared" si="0"/>
        <v>0.5</v>
      </c>
      <c r="D73" s="24">
        <f t="shared" si="1"/>
        <v>1.4998000000000011E-2</v>
      </c>
      <c r="E73" s="316"/>
    </row>
    <row r="74" spans="2:5" x14ac:dyDescent="0.2">
      <c r="B74" s="295">
        <v>0.51</v>
      </c>
      <c r="C74" s="25">
        <f t="shared" si="0"/>
        <v>0.51499800000000007</v>
      </c>
      <c r="D74" s="25">
        <f t="shared" si="1"/>
        <v>1.4998000000000067E-2</v>
      </c>
      <c r="E74" s="316"/>
    </row>
    <row r="75" spans="2:5" x14ac:dyDescent="0.2">
      <c r="B75" s="53">
        <v>0.52</v>
      </c>
      <c r="C75" s="24">
        <f t="shared" si="0"/>
        <v>0.52998400000000001</v>
      </c>
      <c r="D75" s="24">
        <f t="shared" si="1"/>
        <v>1.4985999999999944E-2</v>
      </c>
      <c r="E75" s="316"/>
    </row>
    <row r="76" spans="2:5" x14ac:dyDescent="0.2">
      <c r="B76" s="295">
        <v>0.53</v>
      </c>
      <c r="C76" s="25">
        <f t="shared" si="0"/>
        <v>0.54494600000000004</v>
      </c>
      <c r="D76" s="25">
        <f t="shared" si="1"/>
        <v>1.4962000000000031E-2</v>
      </c>
      <c r="E76" s="316"/>
    </row>
    <row r="77" spans="2:5" x14ac:dyDescent="0.2">
      <c r="B77" s="53">
        <v>0.54</v>
      </c>
      <c r="C77" s="24">
        <f t="shared" si="0"/>
        <v>0.55987200000000004</v>
      </c>
      <c r="D77" s="24">
        <f t="shared" si="1"/>
        <v>1.4925999999999995E-2</v>
      </c>
      <c r="E77" s="316"/>
    </row>
    <row r="78" spans="2:5" x14ac:dyDescent="0.2">
      <c r="B78" s="295">
        <v>0.55000000000000004</v>
      </c>
      <c r="C78" s="25">
        <f t="shared" si="0"/>
        <v>0.57475000000000009</v>
      </c>
      <c r="D78" s="25">
        <f t="shared" si="1"/>
        <v>1.4878000000000058E-2</v>
      </c>
      <c r="E78" s="316"/>
    </row>
    <row r="79" spans="2:5" x14ac:dyDescent="0.2">
      <c r="B79" s="53">
        <v>0.56000000000000005</v>
      </c>
      <c r="C79" s="24">
        <f t="shared" si="0"/>
        <v>0.58956800000000009</v>
      </c>
      <c r="D79" s="24">
        <f t="shared" si="1"/>
        <v>1.4817999999999998E-2</v>
      </c>
      <c r="E79" s="316"/>
    </row>
    <row r="80" spans="2:5" x14ac:dyDescent="0.2">
      <c r="B80" s="295">
        <v>0.56999999999999995</v>
      </c>
      <c r="C80" s="25">
        <f t="shared" si="0"/>
        <v>0.60431399999999991</v>
      </c>
      <c r="D80" s="25">
        <f t="shared" si="1"/>
        <v>1.4745999999999815E-2</v>
      </c>
      <c r="E80" s="316"/>
    </row>
    <row r="81" spans="2:5" x14ac:dyDescent="0.2">
      <c r="B81" s="53">
        <v>0.57999999999999996</v>
      </c>
      <c r="C81" s="24">
        <f t="shared" si="0"/>
        <v>0.61897599999999997</v>
      </c>
      <c r="D81" s="24">
        <f t="shared" si="1"/>
        <v>1.4662000000000064E-2</v>
      </c>
      <c r="E81" s="316"/>
    </row>
    <row r="82" spans="2:5" x14ac:dyDescent="0.2">
      <c r="B82" s="295">
        <v>0.59</v>
      </c>
      <c r="C82" s="25">
        <f t="shared" si="0"/>
        <v>0.63354200000000005</v>
      </c>
      <c r="D82" s="25">
        <f t="shared" si="1"/>
        <v>1.4566000000000079E-2</v>
      </c>
      <c r="E82" s="316"/>
    </row>
    <row r="83" spans="2:5" x14ac:dyDescent="0.2">
      <c r="B83" s="53">
        <v>0.6</v>
      </c>
      <c r="C83" s="24">
        <f t="shared" si="0"/>
        <v>0.64800000000000002</v>
      </c>
      <c r="D83" s="24">
        <f t="shared" si="1"/>
        <v>1.4457999999999971E-2</v>
      </c>
      <c r="E83" s="316"/>
    </row>
    <row r="84" spans="2:5" x14ac:dyDescent="0.2">
      <c r="B84" s="295">
        <v>0.61</v>
      </c>
      <c r="C84" s="25">
        <f t="shared" si="0"/>
        <v>0.66233799999999998</v>
      </c>
      <c r="D84" s="25">
        <f t="shared" si="1"/>
        <v>1.4337999999999962E-2</v>
      </c>
      <c r="E84" s="316"/>
    </row>
    <row r="85" spans="2:5" x14ac:dyDescent="0.2">
      <c r="B85" s="53">
        <v>0.62</v>
      </c>
      <c r="C85" s="24">
        <f t="shared" si="0"/>
        <v>0.67654400000000003</v>
      </c>
      <c r="D85" s="24">
        <f t="shared" si="1"/>
        <v>1.4206000000000052E-2</v>
      </c>
      <c r="E85" s="316"/>
    </row>
    <row r="86" spans="2:5" x14ac:dyDescent="0.2">
      <c r="B86" s="295">
        <v>0.63</v>
      </c>
      <c r="C86" s="25">
        <f t="shared" si="0"/>
        <v>0.69060600000000005</v>
      </c>
      <c r="D86" s="25">
        <f t="shared" si="1"/>
        <v>1.4062000000000019E-2</v>
      </c>
      <c r="E86" s="316"/>
    </row>
    <row r="87" spans="2:5" x14ac:dyDescent="0.2">
      <c r="B87" s="53">
        <v>0.64</v>
      </c>
      <c r="C87" s="24">
        <f t="shared" si="0"/>
        <v>0.70451200000000003</v>
      </c>
      <c r="D87" s="24">
        <f t="shared" si="1"/>
        <v>1.3905999999999974E-2</v>
      </c>
      <c r="E87" s="316"/>
    </row>
    <row r="88" spans="2:5" x14ac:dyDescent="0.2">
      <c r="B88" s="295">
        <v>0.65</v>
      </c>
      <c r="C88" s="25">
        <f t="shared" si="0"/>
        <v>0.71825000000000006</v>
      </c>
      <c r="D88" s="25">
        <f t="shared" si="1"/>
        <v>1.3738000000000028E-2</v>
      </c>
      <c r="E88" s="316"/>
    </row>
    <row r="89" spans="2:5" x14ac:dyDescent="0.2">
      <c r="B89" s="53">
        <v>0.66</v>
      </c>
      <c r="C89" s="24">
        <f t="shared" ref="C89:C123" si="2">_xlfn.BETA.DIST(B89,$B$20,$C$20,TRUE)</f>
        <v>0.73180800000000001</v>
      </c>
      <c r="D89" s="24">
        <f t="shared" ref="D89:D123" si="3">C89-C88</f>
        <v>1.3557999999999959E-2</v>
      </c>
      <c r="E89" s="316"/>
    </row>
    <row r="90" spans="2:5" x14ac:dyDescent="0.2">
      <c r="B90" s="295">
        <v>0.67</v>
      </c>
      <c r="C90" s="25">
        <f t="shared" si="2"/>
        <v>0.74517400000000011</v>
      </c>
      <c r="D90" s="25">
        <f t="shared" si="3"/>
        <v>1.33660000000001E-2</v>
      </c>
      <c r="E90" s="316"/>
    </row>
    <row r="91" spans="2:5" x14ac:dyDescent="0.2">
      <c r="B91" s="53">
        <v>0.68</v>
      </c>
      <c r="C91" s="24">
        <f t="shared" si="2"/>
        <v>0.75833600000000012</v>
      </c>
      <c r="D91" s="24">
        <f t="shared" si="3"/>
        <v>1.3162000000000007E-2</v>
      </c>
      <c r="E91" s="316"/>
    </row>
    <row r="92" spans="2:5" x14ac:dyDescent="0.2">
      <c r="B92" s="295">
        <v>0.69</v>
      </c>
      <c r="C92" s="25">
        <f t="shared" si="2"/>
        <v>0.77128199999999991</v>
      </c>
      <c r="D92" s="25">
        <f t="shared" si="3"/>
        <v>1.2945999999999791E-2</v>
      </c>
      <c r="E92" s="316"/>
    </row>
    <row r="93" spans="2:5" x14ac:dyDescent="0.2">
      <c r="B93" s="53">
        <v>0.7</v>
      </c>
      <c r="C93" s="24">
        <f t="shared" si="2"/>
        <v>0.78400000000000003</v>
      </c>
      <c r="D93" s="24">
        <f t="shared" si="3"/>
        <v>1.2718000000000118E-2</v>
      </c>
      <c r="E93" s="316"/>
    </row>
    <row r="94" spans="2:5" x14ac:dyDescent="0.2">
      <c r="B94" s="295">
        <v>0.71</v>
      </c>
      <c r="C94" s="25">
        <f t="shared" si="2"/>
        <v>0.79647799999999991</v>
      </c>
      <c r="D94" s="25">
        <f t="shared" si="3"/>
        <v>1.2477999999999878E-2</v>
      </c>
      <c r="E94" s="316"/>
    </row>
    <row r="95" spans="2:5" x14ac:dyDescent="0.2">
      <c r="B95" s="53">
        <v>0.72</v>
      </c>
      <c r="C95" s="24">
        <f t="shared" si="2"/>
        <v>0.80870399999999998</v>
      </c>
      <c r="D95" s="24">
        <f t="shared" si="3"/>
        <v>1.222600000000007E-2</v>
      </c>
      <c r="E95" s="316"/>
    </row>
    <row r="96" spans="2:5" x14ac:dyDescent="0.2">
      <c r="B96" s="295">
        <v>0.73</v>
      </c>
      <c r="C96" s="25">
        <f t="shared" si="2"/>
        <v>0.82066600000000001</v>
      </c>
      <c r="D96" s="25">
        <f t="shared" si="3"/>
        <v>1.1962000000000028E-2</v>
      </c>
      <c r="E96" s="316"/>
    </row>
    <row r="97" spans="2:5" x14ac:dyDescent="0.2">
      <c r="B97" s="53">
        <v>0.74</v>
      </c>
      <c r="C97" s="24">
        <f t="shared" si="2"/>
        <v>0.83235199999999998</v>
      </c>
      <c r="D97" s="24">
        <f t="shared" si="3"/>
        <v>1.1685999999999974E-2</v>
      </c>
      <c r="E97" s="316"/>
    </row>
    <row r="98" spans="2:5" x14ac:dyDescent="0.2">
      <c r="B98" s="295">
        <v>0.75</v>
      </c>
      <c r="C98" s="25">
        <f t="shared" si="2"/>
        <v>0.84375</v>
      </c>
      <c r="D98" s="25">
        <f t="shared" si="3"/>
        <v>1.1398000000000019E-2</v>
      </c>
      <c r="E98" s="316"/>
    </row>
    <row r="99" spans="2:5" x14ac:dyDescent="0.2">
      <c r="B99" s="53">
        <v>0.76</v>
      </c>
      <c r="C99" s="24">
        <f t="shared" si="2"/>
        <v>0.85484800000000005</v>
      </c>
      <c r="D99" s="24">
        <f t="shared" si="3"/>
        <v>1.1098000000000052E-2</v>
      </c>
      <c r="E99" s="316"/>
    </row>
    <row r="100" spans="2:5" x14ac:dyDescent="0.2">
      <c r="B100" s="295">
        <v>0.77</v>
      </c>
      <c r="C100" s="25">
        <f t="shared" si="2"/>
        <v>0.86563400000000001</v>
      </c>
      <c r="D100" s="25">
        <f t="shared" si="3"/>
        <v>1.0785999999999962E-2</v>
      </c>
      <c r="E100" s="316"/>
    </row>
    <row r="101" spans="2:5" x14ac:dyDescent="0.2">
      <c r="B101" s="53">
        <v>0.78</v>
      </c>
      <c r="C101" s="24">
        <f t="shared" si="2"/>
        <v>0.87609599999999999</v>
      </c>
      <c r="D101" s="24">
        <f t="shared" si="3"/>
        <v>1.0461999999999971E-2</v>
      </c>
      <c r="E101" s="316"/>
    </row>
    <row r="102" spans="2:5" x14ac:dyDescent="0.2">
      <c r="B102" s="295">
        <v>0.79</v>
      </c>
      <c r="C102" s="25">
        <f t="shared" si="2"/>
        <v>0.88622200000000007</v>
      </c>
      <c r="D102" s="25">
        <f t="shared" si="3"/>
        <v>1.0126000000000079E-2</v>
      </c>
      <c r="E102" s="316"/>
    </row>
    <row r="103" spans="2:5" x14ac:dyDescent="0.2">
      <c r="B103" s="53">
        <v>0.8</v>
      </c>
      <c r="C103" s="24">
        <f t="shared" si="2"/>
        <v>0.89600000000000002</v>
      </c>
      <c r="D103" s="24">
        <f t="shared" si="3"/>
        <v>9.7779999999999534E-3</v>
      </c>
      <c r="E103" s="316"/>
    </row>
    <row r="104" spans="2:5" x14ac:dyDescent="0.2">
      <c r="B104" s="295">
        <v>0.81</v>
      </c>
      <c r="C104" s="25">
        <f t="shared" si="2"/>
        <v>0.90541800000000006</v>
      </c>
      <c r="D104" s="25">
        <f t="shared" si="3"/>
        <v>9.4180000000000375E-3</v>
      </c>
      <c r="E104" s="316"/>
    </row>
    <row r="105" spans="2:5" x14ac:dyDescent="0.2">
      <c r="B105" s="53">
        <v>0.82</v>
      </c>
      <c r="C105" s="24">
        <f t="shared" si="2"/>
        <v>0.91446399999999994</v>
      </c>
      <c r="D105" s="24">
        <f t="shared" si="3"/>
        <v>9.0459999999998875E-3</v>
      </c>
      <c r="E105" s="316"/>
    </row>
    <row r="106" spans="2:5" x14ac:dyDescent="0.2">
      <c r="B106" s="295">
        <v>0.83</v>
      </c>
      <c r="C106" s="25">
        <f t="shared" si="2"/>
        <v>0.92312599999999989</v>
      </c>
      <c r="D106" s="25">
        <f t="shared" si="3"/>
        <v>8.6619999999999475E-3</v>
      </c>
      <c r="E106" s="316"/>
    </row>
    <row r="107" spans="2:5" x14ac:dyDescent="0.2">
      <c r="B107" s="53">
        <v>0.84</v>
      </c>
      <c r="C107" s="24">
        <f t="shared" si="2"/>
        <v>0.931392</v>
      </c>
      <c r="D107" s="24">
        <f t="shared" si="3"/>
        <v>8.2660000000001066E-3</v>
      </c>
      <c r="E107" s="316"/>
    </row>
    <row r="108" spans="2:5" x14ac:dyDescent="0.2">
      <c r="B108" s="295">
        <v>0.85</v>
      </c>
      <c r="C108" s="25">
        <f t="shared" si="2"/>
        <v>0.93924999999999992</v>
      </c>
      <c r="D108" s="25">
        <f t="shared" si="3"/>
        <v>7.8579999999999206E-3</v>
      </c>
      <c r="E108" s="316"/>
    </row>
    <row r="109" spans="2:5" x14ac:dyDescent="0.2">
      <c r="B109" s="53">
        <v>0.86</v>
      </c>
      <c r="C109" s="24">
        <f t="shared" si="2"/>
        <v>0.94668799999999997</v>
      </c>
      <c r="D109" s="24">
        <f t="shared" si="3"/>
        <v>7.4380000000000557E-3</v>
      </c>
      <c r="E109" s="316"/>
    </row>
    <row r="110" spans="2:5" x14ac:dyDescent="0.2">
      <c r="B110" s="295">
        <v>0.87</v>
      </c>
      <c r="C110" s="25">
        <f t="shared" si="2"/>
        <v>0.95369400000000004</v>
      </c>
      <c r="D110" s="25">
        <f t="shared" si="3"/>
        <v>7.0060000000000677E-3</v>
      </c>
      <c r="E110" s="316"/>
    </row>
    <row r="111" spans="2:5" x14ac:dyDescent="0.2">
      <c r="B111" s="53">
        <v>0.88</v>
      </c>
      <c r="C111" s="24">
        <f t="shared" si="2"/>
        <v>0.960256</v>
      </c>
      <c r="D111" s="24">
        <f t="shared" si="3"/>
        <v>6.5619999999999568E-3</v>
      </c>
      <c r="E111" s="316"/>
    </row>
    <row r="112" spans="2:5" x14ac:dyDescent="0.2">
      <c r="B112" s="295">
        <v>0.89</v>
      </c>
      <c r="C112" s="25">
        <f t="shared" si="2"/>
        <v>0.96636199999999994</v>
      </c>
      <c r="D112" s="25">
        <f t="shared" si="3"/>
        <v>6.1059999999999448E-3</v>
      </c>
      <c r="E112" s="316"/>
    </row>
    <row r="113" spans="2:5" x14ac:dyDescent="0.2">
      <c r="B113" s="53">
        <v>0.9</v>
      </c>
      <c r="C113" s="24">
        <f t="shared" si="2"/>
        <v>0.97199999999999998</v>
      </c>
      <c r="D113" s="24">
        <f t="shared" si="3"/>
        <v>5.6380000000000319E-3</v>
      </c>
      <c r="E113" s="316"/>
    </row>
    <row r="114" spans="2:5" x14ac:dyDescent="0.2">
      <c r="B114" s="295">
        <v>0.91</v>
      </c>
      <c r="C114" s="25">
        <f t="shared" si="2"/>
        <v>0.97715799999999997</v>
      </c>
      <c r="D114" s="25">
        <f t="shared" si="3"/>
        <v>5.1579999999999959E-3</v>
      </c>
      <c r="E114" s="316"/>
    </row>
    <row r="115" spans="2:5" x14ac:dyDescent="0.2">
      <c r="B115" s="53">
        <v>0.92</v>
      </c>
      <c r="C115" s="24">
        <f t="shared" si="2"/>
        <v>0.98182400000000003</v>
      </c>
      <c r="D115" s="24">
        <f t="shared" si="3"/>
        <v>4.666000000000059E-3</v>
      </c>
      <c r="E115" s="316"/>
    </row>
    <row r="116" spans="2:5" x14ac:dyDescent="0.2">
      <c r="B116" s="295">
        <v>0.93</v>
      </c>
      <c r="C116" s="25">
        <f t="shared" si="2"/>
        <v>0.98598600000000003</v>
      </c>
      <c r="D116" s="25">
        <f t="shared" si="3"/>
        <v>4.161999999999999E-3</v>
      </c>
      <c r="E116" s="316"/>
    </row>
    <row r="117" spans="2:5" x14ac:dyDescent="0.2">
      <c r="B117" s="53">
        <v>0.94</v>
      </c>
      <c r="C117" s="24">
        <f t="shared" si="2"/>
        <v>0.98963199999999996</v>
      </c>
      <c r="D117" s="24">
        <f t="shared" si="3"/>
        <v>3.6459999999999271E-3</v>
      </c>
      <c r="E117" s="316"/>
    </row>
    <row r="118" spans="2:5" x14ac:dyDescent="0.2">
      <c r="B118" s="295">
        <v>0.95</v>
      </c>
      <c r="C118" s="25">
        <f t="shared" si="2"/>
        <v>0.99275000000000002</v>
      </c>
      <c r="D118" s="25">
        <f t="shared" si="3"/>
        <v>3.1180000000000652E-3</v>
      </c>
      <c r="E118" s="316"/>
    </row>
    <row r="119" spans="2:5" x14ac:dyDescent="0.2">
      <c r="B119" s="53">
        <v>0.96</v>
      </c>
      <c r="C119" s="24">
        <f t="shared" si="2"/>
        <v>0.99532799999999999</v>
      </c>
      <c r="D119" s="24">
        <f t="shared" si="3"/>
        <v>2.5779999999999692E-3</v>
      </c>
      <c r="E119" s="316"/>
    </row>
    <row r="120" spans="2:5" x14ac:dyDescent="0.2">
      <c r="B120" s="295">
        <v>0.97</v>
      </c>
      <c r="C120" s="25">
        <f t="shared" si="2"/>
        <v>0.99735400000000007</v>
      </c>
      <c r="D120" s="25">
        <f t="shared" si="3"/>
        <v>2.0260000000000833E-3</v>
      </c>
      <c r="E120" s="316"/>
    </row>
    <row r="121" spans="2:5" x14ac:dyDescent="0.2">
      <c r="B121" s="53">
        <v>0.98</v>
      </c>
      <c r="C121" s="24">
        <f t="shared" si="2"/>
        <v>0.99881599999999993</v>
      </c>
      <c r="D121" s="24">
        <f t="shared" si="3"/>
        <v>1.4619999999998523E-3</v>
      </c>
      <c r="E121" s="316"/>
    </row>
    <row r="122" spans="2:5" x14ac:dyDescent="0.2">
      <c r="B122" s="295">
        <v>0.99</v>
      </c>
      <c r="C122" s="25">
        <f t="shared" si="2"/>
        <v>0.99970199999999998</v>
      </c>
      <c r="D122" s="25">
        <f t="shared" si="3"/>
        <v>8.8600000000005341E-4</v>
      </c>
      <c r="E122" s="316"/>
    </row>
    <row r="123" spans="2:5" ht="13.5" thickBot="1" x14ac:dyDescent="0.25">
      <c r="B123" s="297">
        <v>1</v>
      </c>
      <c r="C123" s="595">
        <f t="shared" si="2"/>
        <v>1</v>
      </c>
      <c r="D123" s="301">
        <f t="shared" si="3"/>
        <v>2.9800000000002047E-4</v>
      </c>
      <c r="E123" s="316"/>
    </row>
  </sheetData>
  <mergeCells count="13">
    <mergeCell ref="E4:H4"/>
    <mergeCell ref="D5:H5"/>
    <mergeCell ref="B18:C18"/>
    <mergeCell ref="E8:F8"/>
    <mergeCell ref="E9:F9"/>
    <mergeCell ref="E10:F10"/>
    <mergeCell ref="E11:F11"/>
    <mergeCell ref="E13:F13"/>
    <mergeCell ref="E14:F14"/>
    <mergeCell ref="E15:F15"/>
    <mergeCell ref="E12:F12"/>
    <mergeCell ref="B11:D11"/>
    <mergeCell ref="B13:D13"/>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opLeftCell="B3" workbookViewId="0">
      <selection activeCell="I22" sqref="I22"/>
    </sheetView>
  </sheetViews>
  <sheetFormatPr baseColWidth="10" defaultRowHeight="12.75" x14ac:dyDescent="0.2"/>
  <cols>
    <col min="1" max="1" width="4.7109375" customWidth="1"/>
    <col min="2" max="2" width="20.85546875" customWidth="1"/>
    <col min="3" max="3" width="16.7109375" customWidth="1"/>
    <col min="4" max="4" width="15.28515625" customWidth="1"/>
  </cols>
  <sheetData>
    <row r="1" spans="1:9" ht="15.75" x14ac:dyDescent="0.25">
      <c r="B1" s="10" t="s">
        <v>8</v>
      </c>
      <c r="C1" s="11"/>
      <c r="D1" s="290" t="s">
        <v>192</v>
      </c>
      <c r="E1" s="289"/>
      <c r="F1" s="289"/>
      <c r="G1" s="289"/>
      <c r="H1" s="289"/>
      <c r="I1" s="289"/>
    </row>
    <row r="2" spans="1:9" ht="15.75" x14ac:dyDescent="0.25">
      <c r="B2" s="10" t="s">
        <v>16</v>
      </c>
      <c r="C2" s="11"/>
      <c r="D2" s="290" t="s">
        <v>192</v>
      </c>
      <c r="E2" s="289"/>
      <c r="F2" s="289"/>
      <c r="G2" s="289"/>
      <c r="H2" s="289"/>
      <c r="I2" s="289"/>
    </row>
    <row r="3" spans="1:9" ht="15" x14ac:dyDescent="0.2">
      <c r="B3" s="10" t="s">
        <v>17</v>
      </c>
      <c r="C3" s="11"/>
      <c r="D3" s="291" t="s">
        <v>18</v>
      </c>
      <c r="E3" s="289"/>
      <c r="F3" s="289"/>
      <c r="G3" s="289"/>
      <c r="H3" s="289"/>
      <c r="I3" s="289"/>
    </row>
    <row r="4" spans="1:9" ht="15" x14ac:dyDescent="0.2">
      <c r="B4" s="10" t="s">
        <v>19</v>
      </c>
      <c r="C4" s="11"/>
      <c r="D4" s="612" t="s">
        <v>193</v>
      </c>
      <c r="E4" s="600"/>
      <c r="F4" s="600"/>
      <c r="G4" s="600"/>
      <c r="H4" s="600"/>
      <c r="I4" s="600"/>
    </row>
    <row r="5" spans="1:9" ht="15" x14ac:dyDescent="0.2">
      <c r="B5" s="13" t="s">
        <v>20</v>
      </c>
      <c r="C5" s="611" t="s">
        <v>194</v>
      </c>
      <c r="D5" s="600"/>
      <c r="E5" s="600"/>
      <c r="F5" s="600"/>
      <c r="G5" s="600"/>
      <c r="H5" s="600"/>
      <c r="I5" s="600"/>
    </row>
    <row r="8" spans="1:9" ht="15.75" thickBot="1" x14ac:dyDescent="0.25">
      <c r="B8" s="545" t="s">
        <v>351</v>
      </c>
      <c r="C8" s="546"/>
      <c r="D8" s="541"/>
      <c r="E8" s="542"/>
      <c r="F8" s="542"/>
    </row>
    <row r="9" spans="1:9" ht="13.5" thickBot="1" x14ac:dyDescent="0.25">
      <c r="A9" s="17"/>
      <c r="B9" s="522" t="s">
        <v>344</v>
      </c>
      <c r="C9" s="522"/>
      <c r="D9" s="552"/>
      <c r="E9" s="613" t="s">
        <v>343</v>
      </c>
      <c r="F9" s="614"/>
    </row>
    <row r="10" spans="1:9" ht="13.5" thickBot="1" x14ac:dyDescent="0.25">
      <c r="A10" s="17"/>
      <c r="B10" s="5" t="s">
        <v>352</v>
      </c>
      <c r="C10" s="539"/>
      <c r="D10" s="543"/>
      <c r="E10" s="615">
        <v>4</v>
      </c>
      <c r="F10" s="607"/>
    </row>
    <row r="11" spans="1:9" ht="15.75" thickBot="1" x14ac:dyDescent="0.3">
      <c r="A11" s="17"/>
      <c r="B11" s="550" t="s">
        <v>192</v>
      </c>
      <c r="C11" s="550"/>
      <c r="D11" s="551"/>
      <c r="E11" s="684">
        <f>GAMMALN(E10)</f>
        <v>1.791759469228055</v>
      </c>
      <c r="F11" s="685"/>
    </row>
    <row r="12" spans="1:9" ht="15" x14ac:dyDescent="0.2">
      <c r="B12" s="538"/>
      <c r="C12" s="555"/>
      <c r="D12" s="539"/>
      <c r="E12" s="553" t="s">
        <v>353</v>
      </c>
      <c r="F12" s="189"/>
    </row>
  </sheetData>
  <mergeCells count="5">
    <mergeCell ref="E11:F11"/>
    <mergeCell ref="D4:I4"/>
    <mergeCell ref="C5:I5"/>
    <mergeCell ref="E9:F9"/>
    <mergeCell ref="E10:F10"/>
  </mergeCells>
  <phoneticPr fontId="5" type="noConversion"/>
  <pageMargins left="0.78740157499999996" right="0.78740157499999996" top="0.984251969" bottom="0.984251969" header="0.4921259845" footer="0.492125984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opLeftCell="B1" workbookViewId="0">
      <selection activeCell="C6" sqref="C6"/>
    </sheetView>
  </sheetViews>
  <sheetFormatPr baseColWidth="10" defaultRowHeight="12.75" x14ac:dyDescent="0.2"/>
  <cols>
    <col min="1" max="1" width="4.7109375" customWidth="1"/>
    <col min="2" max="2" width="20.85546875" customWidth="1"/>
    <col min="3" max="3" width="16.7109375" customWidth="1"/>
    <col min="4" max="4" width="15.28515625" customWidth="1"/>
  </cols>
  <sheetData>
    <row r="1" spans="1:9" ht="15.75" x14ac:dyDescent="0.25">
      <c r="B1" s="10" t="s">
        <v>8</v>
      </c>
      <c r="C1" s="11"/>
      <c r="D1" s="290" t="s">
        <v>594</v>
      </c>
      <c r="E1" s="289"/>
      <c r="F1" s="289"/>
      <c r="G1" s="289"/>
      <c r="H1" s="289"/>
      <c r="I1" s="289"/>
    </row>
    <row r="2" spans="1:9" ht="15.75" x14ac:dyDescent="0.25">
      <c r="B2" s="10" t="s">
        <v>16</v>
      </c>
      <c r="C2" s="11"/>
      <c r="D2" s="290" t="s">
        <v>595</v>
      </c>
      <c r="E2" s="289"/>
      <c r="F2" s="289"/>
      <c r="G2" s="289"/>
      <c r="H2" s="289"/>
      <c r="I2" s="289"/>
    </row>
    <row r="3" spans="1:9" ht="15" x14ac:dyDescent="0.2">
      <c r="B3" s="10" t="s">
        <v>17</v>
      </c>
      <c r="C3" s="11"/>
      <c r="D3" s="291" t="s">
        <v>18</v>
      </c>
      <c r="E3" s="289"/>
      <c r="F3" s="289"/>
      <c r="G3" s="289"/>
      <c r="H3" s="289"/>
      <c r="I3" s="289"/>
    </row>
    <row r="4" spans="1:9" ht="15" x14ac:dyDescent="0.2">
      <c r="B4" s="10" t="s">
        <v>19</v>
      </c>
      <c r="C4" s="11"/>
      <c r="D4" s="612" t="s">
        <v>596</v>
      </c>
      <c r="E4" s="600"/>
      <c r="F4" s="600"/>
      <c r="G4" s="600"/>
      <c r="H4" s="600"/>
      <c r="I4" s="600"/>
    </row>
    <row r="5" spans="1:9" ht="15" x14ac:dyDescent="0.2">
      <c r="B5" s="13" t="s">
        <v>20</v>
      </c>
      <c r="C5" s="611" t="s">
        <v>597</v>
      </c>
      <c r="D5" s="600"/>
      <c r="E5" s="600"/>
      <c r="F5" s="600"/>
      <c r="G5" s="600"/>
      <c r="H5" s="600"/>
      <c r="I5" s="600"/>
    </row>
    <row r="8" spans="1:9" ht="15.75" x14ac:dyDescent="0.2">
      <c r="A8" s="1"/>
      <c r="B8" s="593" t="s">
        <v>584</v>
      </c>
      <c r="C8" s="582"/>
      <c r="D8" s="583"/>
      <c r="E8" s="314"/>
      <c r="F8" s="314"/>
    </row>
    <row r="9" spans="1:9" x14ac:dyDescent="0.2">
      <c r="A9" s="1"/>
      <c r="B9" s="1"/>
      <c r="C9" s="1"/>
      <c r="D9" s="1"/>
      <c r="E9" s="1"/>
      <c r="F9" s="1"/>
    </row>
    <row r="10" spans="1:9" x14ac:dyDescent="0.2">
      <c r="A10" s="1"/>
      <c r="B10" s="1"/>
      <c r="C10" s="1"/>
      <c r="D10" s="1"/>
      <c r="E10" s="1"/>
      <c r="F10" s="1"/>
    </row>
    <row r="11" spans="1:9" x14ac:dyDescent="0.2">
      <c r="A11" s="1"/>
      <c r="B11" s="1"/>
      <c r="C11" s="1"/>
      <c r="D11" s="1"/>
      <c r="E11" s="1"/>
      <c r="F11" s="1"/>
    </row>
    <row r="12" spans="1:9" x14ac:dyDescent="0.2">
      <c r="A12" s="1"/>
      <c r="B12" s="1"/>
      <c r="C12" s="1"/>
      <c r="D12" s="1"/>
      <c r="E12" s="1"/>
      <c r="F12" s="1"/>
    </row>
  </sheetData>
  <mergeCells count="2">
    <mergeCell ref="D4:I4"/>
    <mergeCell ref="C5:I5"/>
  </mergeCells>
  <pageMargins left="0.78740157499999996" right="0.78740157499999996" top="0.984251969" bottom="0.984251969" header="0.4921259845" footer="0.492125984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topLeftCell="B1" workbookViewId="0">
      <selection activeCell="H21" sqref="H21"/>
    </sheetView>
  </sheetViews>
  <sheetFormatPr baseColWidth="10" defaultRowHeight="12.75" x14ac:dyDescent="0.2"/>
  <cols>
    <col min="1" max="1" width="5.28515625" customWidth="1"/>
    <col min="2" max="2" width="18.42578125" customWidth="1"/>
    <col min="3" max="3" width="20.140625" customWidth="1"/>
    <col min="4" max="4" width="19.5703125" customWidth="1"/>
    <col min="5" max="5" width="15.140625" customWidth="1"/>
    <col min="6" max="6" width="16.85546875" customWidth="1"/>
  </cols>
  <sheetData>
    <row r="1" spans="1:9" ht="18" customHeight="1" x14ac:dyDescent="0.25">
      <c r="B1" s="10" t="s">
        <v>8</v>
      </c>
      <c r="C1" s="11"/>
      <c r="D1" s="290" t="s">
        <v>473</v>
      </c>
      <c r="E1" s="289"/>
      <c r="F1" s="289"/>
      <c r="G1" s="289"/>
      <c r="H1" s="289"/>
      <c r="I1" s="289"/>
    </row>
    <row r="2" spans="1:9" ht="18" customHeight="1" x14ac:dyDescent="0.25">
      <c r="B2" s="10" t="s">
        <v>16</v>
      </c>
      <c r="C2" s="11"/>
      <c r="D2" s="290" t="s">
        <v>474</v>
      </c>
      <c r="E2" s="289"/>
      <c r="F2" s="289"/>
      <c r="G2" s="289"/>
      <c r="H2" s="289"/>
      <c r="I2" s="289"/>
    </row>
    <row r="3" spans="1:9" ht="18" customHeight="1" x14ac:dyDescent="0.2">
      <c r="B3" s="10" t="s">
        <v>17</v>
      </c>
      <c r="C3" s="11"/>
      <c r="D3" s="291" t="s">
        <v>18</v>
      </c>
      <c r="E3" s="289"/>
      <c r="F3" s="289"/>
      <c r="G3" s="289"/>
      <c r="H3" s="289"/>
      <c r="I3" s="289"/>
    </row>
    <row r="4" spans="1:9" ht="18" customHeight="1" x14ac:dyDescent="0.2">
      <c r="B4" s="10" t="s">
        <v>19</v>
      </c>
      <c r="C4" s="11"/>
      <c r="D4" s="612" t="s">
        <v>475</v>
      </c>
      <c r="E4" s="600"/>
      <c r="F4" s="600"/>
      <c r="G4" s="600"/>
      <c r="H4" s="600"/>
      <c r="I4" s="600"/>
    </row>
    <row r="5" spans="1:9" ht="68.25" customHeight="1" x14ac:dyDescent="0.2">
      <c r="B5" s="13" t="s">
        <v>20</v>
      </c>
      <c r="C5" s="611" t="s">
        <v>476</v>
      </c>
      <c r="D5" s="600"/>
      <c r="E5" s="600"/>
      <c r="F5" s="600"/>
      <c r="G5" s="600"/>
      <c r="H5" s="600"/>
      <c r="I5" s="600"/>
    </row>
    <row r="6" spans="1:9" s="5" customFormat="1" ht="15.95" customHeight="1" x14ac:dyDescent="0.2">
      <c r="B6" s="538"/>
      <c r="C6" s="539"/>
      <c r="D6" s="189"/>
      <c r="E6" s="189"/>
      <c r="F6" s="189"/>
      <c r="G6" s="189"/>
      <c r="H6" s="189"/>
      <c r="I6" s="189"/>
    </row>
    <row r="7" spans="1:9" s="5" customFormat="1" ht="15.95" customHeight="1" thickBot="1" x14ac:dyDescent="0.25">
      <c r="B7" s="545" t="s">
        <v>477</v>
      </c>
      <c r="C7" s="546"/>
      <c r="D7" s="541"/>
      <c r="E7" s="542"/>
      <c r="F7" s="542"/>
      <c r="G7" s="189"/>
      <c r="H7" s="189"/>
      <c r="I7" s="189"/>
    </row>
    <row r="8" spans="1:9" s="5" customFormat="1" ht="15.95" customHeight="1" thickBot="1" x14ac:dyDescent="0.25">
      <c r="A8" s="19"/>
      <c r="B8" s="522" t="s">
        <v>344</v>
      </c>
      <c r="C8" s="522"/>
      <c r="D8" s="552"/>
      <c r="E8" s="613" t="s">
        <v>343</v>
      </c>
      <c r="F8" s="614"/>
      <c r="G8" s="189"/>
      <c r="H8" s="189"/>
      <c r="I8" s="189"/>
    </row>
    <row r="9" spans="1:9" s="5" customFormat="1" ht="15.95" customHeight="1" x14ac:dyDescent="0.2">
      <c r="A9" s="19"/>
      <c r="B9" s="5" t="s">
        <v>354</v>
      </c>
      <c r="C9" s="539"/>
      <c r="D9" s="543"/>
      <c r="E9" s="615">
        <v>10</v>
      </c>
      <c r="F9" s="607"/>
      <c r="G9" s="189"/>
      <c r="H9" s="189"/>
      <c r="I9" s="189"/>
    </row>
    <row r="10" spans="1:9" s="5" customFormat="1" ht="15.95" customHeight="1" x14ac:dyDescent="0.2">
      <c r="A10" s="19"/>
      <c r="B10" s="547" t="s">
        <v>349</v>
      </c>
      <c r="C10" s="548"/>
      <c r="D10" s="161"/>
      <c r="E10" s="687">
        <v>2.7</v>
      </c>
      <c r="F10" s="688"/>
      <c r="G10" s="189"/>
      <c r="H10" s="189"/>
      <c r="I10" s="189"/>
    </row>
    <row r="11" spans="1:9" s="5" customFormat="1" ht="15.95" customHeight="1" x14ac:dyDescent="0.2">
      <c r="A11" s="19"/>
      <c r="B11" s="5" t="s">
        <v>350</v>
      </c>
      <c r="C11" s="539"/>
      <c r="D11" s="543"/>
      <c r="E11" s="615">
        <v>2</v>
      </c>
      <c r="F11" s="607"/>
      <c r="G11" s="189"/>
      <c r="H11" s="189"/>
      <c r="I11" s="189"/>
    </row>
    <row r="12" spans="1:9" s="5" customFormat="1" ht="15.95" customHeight="1" x14ac:dyDescent="0.2">
      <c r="A12" s="19"/>
      <c r="B12" s="547" t="s">
        <v>355</v>
      </c>
      <c r="C12" s="548"/>
      <c r="D12" s="161"/>
      <c r="E12" s="616" t="b">
        <v>1</v>
      </c>
      <c r="F12" s="607"/>
      <c r="G12" s="189"/>
      <c r="H12" s="189"/>
      <c r="I12" s="189"/>
    </row>
    <row r="13" spans="1:9" s="5" customFormat="1" ht="15.95" customHeight="1" thickBot="1" x14ac:dyDescent="0.25">
      <c r="A13" s="19"/>
      <c r="B13" s="5" t="s">
        <v>356</v>
      </c>
      <c r="C13" s="539"/>
      <c r="D13" s="543"/>
      <c r="E13" s="617" t="b">
        <v>0</v>
      </c>
      <c r="F13" s="691"/>
      <c r="G13" s="189"/>
      <c r="H13" s="189"/>
      <c r="I13" s="189"/>
    </row>
    <row r="14" spans="1:9" s="5" customFormat="1" ht="15.95" customHeight="1" thickBot="1" x14ac:dyDescent="0.3">
      <c r="A14" s="6"/>
      <c r="B14" s="549" t="s">
        <v>480</v>
      </c>
      <c r="C14" s="550"/>
      <c r="D14" s="563"/>
      <c r="E14" s="689">
        <f>_xlfn.GAMMA.DIST(E9,E10,E11,E12)</f>
        <v>0.90678808486041862</v>
      </c>
      <c r="F14" s="690"/>
      <c r="G14" s="189"/>
      <c r="H14" s="189"/>
      <c r="I14" s="189"/>
    </row>
    <row r="15" spans="1:9" s="5" customFormat="1" ht="15.95" customHeight="1" x14ac:dyDescent="0.25">
      <c r="A15" s="6"/>
      <c r="B15" s="564"/>
      <c r="C15" s="561"/>
      <c r="D15" s="562"/>
      <c r="E15" s="694" t="s">
        <v>478</v>
      </c>
      <c r="F15" s="695"/>
      <c r="G15" s="314"/>
      <c r="H15" s="189"/>
      <c r="I15" s="189"/>
    </row>
    <row r="16" spans="1:9" s="5" customFormat="1" ht="15.95" customHeight="1" thickBot="1" x14ac:dyDescent="0.3">
      <c r="B16" s="556" t="s">
        <v>481</v>
      </c>
      <c r="C16" s="557"/>
      <c r="D16" s="558"/>
      <c r="E16" s="692">
        <f>_xlfn.GAMMA.DIST(E9,E10,E11,E13)</f>
        <v>3.3643907876289084E-2</v>
      </c>
      <c r="F16" s="693"/>
      <c r="G16" s="189"/>
      <c r="H16" s="189"/>
      <c r="I16" s="189"/>
    </row>
    <row r="17" spans="1:6" ht="15" x14ac:dyDescent="0.2">
      <c r="B17" s="538"/>
      <c r="C17" s="555"/>
      <c r="D17" s="539"/>
      <c r="E17" s="696" t="s">
        <v>479</v>
      </c>
      <c r="F17" s="697"/>
    </row>
    <row r="18" spans="1:6" ht="15.75" thickBot="1" x14ac:dyDescent="0.25">
      <c r="B18" s="538"/>
      <c r="C18" s="6"/>
      <c r="D18" s="539"/>
      <c r="E18" s="565"/>
      <c r="F18" s="154"/>
    </row>
    <row r="19" spans="1:6" ht="13.5" thickBot="1" x14ac:dyDescent="0.25">
      <c r="A19" s="17"/>
      <c r="B19" s="682" t="s">
        <v>137</v>
      </c>
      <c r="C19" s="686"/>
      <c r="F19" s="553"/>
    </row>
    <row r="20" spans="1:6" ht="25.5" x14ac:dyDescent="0.2">
      <c r="A20" s="17"/>
      <c r="B20" s="383" t="s">
        <v>186</v>
      </c>
      <c r="C20" s="382" t="s">
        <v>187</v>
      </c>
    </row>
    <row r="21" spans="1:6" ht="13.5" thickBot="1" x14ac:dyDescent="0.25">
      <c r="A21" s="17"/>
      <c r="B21" s="384">
        <v>2</v>
      </c>
      <c r="C21" s="381">
        <v>2</v>
      </c>
      <c r="D21" s="342"/>
      <c r="E21" s="135"/>
      <c r="F21" s="135"/>
    </row>
    <row r="22" spans="1:6" ht="13.5" thickBot="1" x14ac:dyDescent="0.25">
      <c r="B22" s="70"/>
      <c r="C22" s="70"/>
      <c r="D22" s="342"/>
      <c r="E22" s="135"/>
      <c r="F22" s="135"/>
    </row>
    <row r="23" spans="1:6" ht="13.5" thickBot="1" x14ac:dyDescent="0.25">
      <c r="B23" s="265"/>
      <c r="C23" s="682" t="s">
        <v>183</v>
      </c>
      <c r="D23" s="683"/>
      <c r="E23" s="135"/>
      <c r="F23" s="135"/>
    </row>
    <row r="24" spans="1:6" ht="26.25" thickBot="1" x14ac:dyDescent="0.25">
      <c r="B24" s="385" t="s">
        <v>132</v>
      </c>
      <c r="C24" s="389" t="s">
        <v>188</v>
      </c>
      <c r="D24" s="390" t="s">
        <v>189</v>
      </c>
    </row>
    <row r="25" spans="1:6" x14ac:dyDescent="0.2">
      <c r="B25" s="386">
        <v>0</v>
      </c>
      <c r="C25" s="24">
        <f>_xlfn.GAMMA.DIST(B25,$B$21,$C$21,FALSE)</f>
        <v>0</v>
      </c>
      <c r="D25" s="17">
        <f>_xlfn.GAMMA.DIST(B25,$B$21,$C$21,TRUE)</f>
        <v>0</v>
      </c>
    </row>
    <row r="26" spans="1:6" x14ac:dyDescent="0.2">
      <c r="B26" s="388">
        <v>0.1</v>
      </c>
      <c r="C26" s="24">
        <f t="shared" ref="C26:C89" si="0">_xlfn.GAMMA.DIST(B26,$B$21,$C$21,FALSE)</f>
        <v>2.3780735612517857E-2</v>
      </c>
      <c r="D26" s="17">
        <f t="shared" ref="D26:D89" si="1">_xlfn.GAMMA.DIST(B26,$B$21,$C$21,TRUE)</f>
        <v>1.2091042742502908E-3</v>
      </c>
    </row>
    <row r="27" spans="1:6" x14ac:dyDescent="0.2">
      <c r="B27" s="386">
        <v>0.2</v>
      </c>
      <c r="C27" s="24">
        <f t="shared" si="0"/>
        <v>4.5241870901797994E-2</v>
      </c>
      <c r="D27" s="17">
        <f t="shared" si="1"/>
        <v>4.6788401604444712E-3</v>
      </c>
    </row>
    <row r="28" spans="1:6" x14ac:dyDescent="0.2">
      <c r="B28" s="388">
        <v>0.3</v>
      </c>
      <c r="C28" s="24">
        <f t="shared" si="0"/>
        <v>6.4553098231879324E-2</v>
      </c>
      <c r="D28" s="17">
        <f t="shared" si="1"/>
        <v>1.018582711118352E-2</v>
      </c>
    </row>
    <row r="29" spans="1:6" x14ac:dyDescent="0.2">
      <c r="B29" s="386">
        <v>0.4</v>
      </c>
      <c r="C29" s="24">
        <f t="shared" si="0"/>
        <v>8.1873075307798193E-2</v>
      </c>
      <c r="D29" s="17">
        <f t="shared" si="1"/>
        <v>1.7523096306421772E-2</v>
      </c>
    </row>
    <row r="30" spans="1:6" x14ac:dyDescent="0.2">
      <c r="B30" s="388">
        <v>0.5</v>
      </c>
      <c r="C30" s="24">
        <f t="shared" si="0"/>
        <v>9.735009788392561E-2</v>
      </c>
      <c r="D30" s="17">
        <f t="shared" si="1"/>
        <v>2.6499021160743909E-2</v>
      </c>
    </row>
    <row r="31" spans="1:6" x14ac:dyDescent="0.2">
      <c r="B31" s="386">
        <v>0.6</v>
      </c>
      <c r="C31" s="24">
        <f t="shared" si="0"/>
        <v>0.11112273310225763</v>
      </c>
      <c r="D31" s="17">
        <f t="shared" si="1"/>
        <v>3.6936313113766765E-2</v>
      </c>
    </row>
    <row r="32" spans="1:6" x14ac:dyDescent="0.2">
      <c r="B32" s="388">
        <v>0.7</v>
      </c>
      <c r="C32" s="24">
        <f t="shared" si="0"/>
        <v>0.12332041570077479</v>
      </c>
      <c r="D32" s="17">
        <f t="shared" si="1"/>
        <v>4.8671078879736838E-2</v>
      </c>
    </row>
    <row r="33" spans="2:4" x14ac:dyDescent="0.2">
      <c r="B33" s="386">
        <v>0.8</v>
      </c>
      <c r="C33" s="24">
        <f t="shared" si="0"/>
        <v>0.13406400920712785</v>
      </c>
      <c r="D33" s="17">
        <f t="shared" si="1"/>
        <v>6.1551935550104991E-2</v>
      </c>
    </row>
    <row r="34" spans="2:4" x14ac:dyDescent="0.2">
      <c r="B34" s="388">
        <v>0.9</v>
      </c>
      <c r="C34" s="24">
        <f t="shared" si="0"/>
        <v>0.14346633411489898</v>
      </c>
      <c r="D34" s="17">
        <f t="shared" si="1"/>
        <v>7.5439180148428722E-2</v>
      </c>
    </row>
    <row r="35" spans="2:4" x14ac:dyDescent="0.2">
      <c r="B35" s="386">
        <v>1</v>
      </c>
      <c r="C35" s="24">
        <f t="shared" si="0"/>
        <v>0.15163266492815836</v>
      </c>
      <c r="D35" s="17">
        <f t="shared" si="1"/>
        <v>9.0204010431049864E-2</v>
      </c>
    </row>
    <row r="36" spans="2:4" x14ac:dyDescent="0.2">
      <c r="B36" s="388">
        <v>1.1000000000000001</v>
      </c>
      <c r="C36" s="24">
        <f t="shared" si="0"/>
        <v>0.15866119785463381</v>
      </c>
      <c r="D36" s="17">
        <f t="shared" si="1"/>
        <v>0.1057277939102456</v>
      </c>
    </row>
    <row r="37" spans="2:4" x14ac:dyDescent="0.2">
      <c r="B37" s="386">
        <v>1.2</v>
      </c>
      <c r="C37" s="24">
        <f t="shared" si="0"/>
        <v>0.16464349082820789</v>
      </c>
      <c r="D37" s="17">
        <f t="shared" si="1"/>
        <v>0.12190138224955763</v>
      </c>
    </row>
    <row r="38" spans="2:4" x14ac:dyDescent="0.2">
      <c r="B38" s="388">
        <v>1.3</v>
      </c>
      <c r="C38" s="24">
        <f t="shared" si="0"/>
        <v>0.16966487744733016</v>
      </c>
      <c r="D38" s="17">
        <f t="shared" si="1"/>
        <v>0.13862446834432351</v>
      </c>
    </row>
    <row r="39" spans="2:4" x14ac:dyDescent="0.2">
      <c r="B39" s="386">
        <v>1.4</v>
      </c>
      <c r="C39" s="24">
        <f t="shared" si="0"/>
        <v>0.1738048563269933</v>
      </c>
      <c r="D39" s="17">
        <f t="shared" si="1"/>
        <v>0.15580498355460379</v>
      </c>
    </row>
    <row r="40" spans="2:4" x14ac:dyDescent="0.2">
      <c r="B40" s="388">
        <v>1.5</v>
      </c>
      <c r="C40" s="24">
        <f t="shared" si="0"/>
        <v>0.17713745727788049</v>
      </c>
      <c r="D40" s="17">
        <f t="shared" si="1"/>
        <v>0.17335853270322427</v>
      </c>
    </row>
    <row r="41" spans="2:4" x14ac:dyDescent="0.2">
      <c r="B41" s="386">
        <v>1.6</v>
      </c>
      <c r="C41" s="24">
        <f t="shared" si="0"/>
        <v>0.17973158564688865</v>
      </c>
      <c r="D41" s="17">
        <f t="shared" si="1"/>
        <v>0.1912078645890011</v>
      </c>
    </row>
    <row r="42" spans="2:4" x14ac:dyDescent="0.2">
      <c r="B42" s="388">
        <v>1.7</v>
      </c>
      <c r="C42" s="24">
        <f t="shared" si="0"/>
        <v>0.18165134607820879</v>
      </c>
      <c r="D42" s="17">
        <f t="shared" si="1"/>
        <v>0.20928237589485557</v>
      </c>
    </row>
    <row r="43" spans="2:4" x14ac:dyDescent="0.2">
      <c r="B43" s="386">
        <v>1.8</v>
      </c>
      <c r="C43" s="24">
        <f t="shared" si="0"/>
        <v>0.18295634688326959</v>
      </c>
      <c r="D43" s="17">
        <f t="shared" si="1"/>
        <v>0.22751764649286171</v>
      </c>
    </row>
    <row r="44" spans="2:4" x14ac:dyDescent="0.2">
      <c r="B44" s="388">
        <v>1.9</v>
      </c>
      <c r="C44" s="24">
        <f t="shared" si="0"/>
        <v>0.18370198614088804</v>
      </c>
      <c r="D44" s="17">
        <f t="shared" si="1"/>
        <v>0.24585500426372264</v>
      </c>
    </row>
    <row r="45" spans="2:4" x14ac:dyDescent="0.2">
      <c r="B45" s="386">
        <v>2</v>
      </c>
      <c r="C45" s="24">
        <f t="shared" si="0"/>
        <v>0.18393972058572114</v>
      </c>
      <c r="D45" s="17">
        <f t="shared" si="1"/>
        <v>0.26424111765711522</v>
      </c>
    </row>
    <row r="46" spans="2:4" x14ac:dyDescent="0.2">
      <c r="B46" s="388">
        <v>2.1</v>
      </c>
      <c r="C46" s="24">
        <f t="shared" si="0"/>
        <v>0.18371731828335655</v>
      </c>
      <c r="D46" s="17">
        <f t="shared" si="1"/>
        <v>0.28262761432213157</v>
      </c>
    </row>
    <row r="47" spans="2:4" x14ac:dyDescent="0.2">
      <c r="B47" s="386">
        <v>2.2000000000000002</v>
      </c>
      <c r="C47" s="24">
        <f t="shared" si="0"/>
        <v>0.18307909603394373</v>
      </c>
      <c r="D47" s="17">
        <f t="shared" si="1"/>
        <v>0.30097072423403287</v>
      </c>
    </row>
    <row r="48" spans="2:4" x14ac:dyDescent="0.2">
      <c r="B48" s="388">
        <v>2.2999999999999998</v>
      </c>
      <c r="C48" s="24">
        <f t="shared" si="0"/>
        <v>0.18206614239295565</v>
      </c>
      <c r="D48" s="17">
        <f t="shared" si="1"/>
        <v>0.31923094583503558</v>
      </c>
    </row>
    <row r="49" spans="2:4" x14ac:dyDescent="0.2">
      <c r="B49" s="386">
        <v>2.4</v>
      </c>
      <c r="C49" s="24">
        <f t="shared" si="0"/>
        <v>0.18071652714732128</v>
      </c>
      <c r="D49" s="17">
        <f t="shared" si="1"/>
        <v>0.33737273379315535</v>
      </c>
    </row>
    <row r="50" spans="2:4" x14ac:dyDescent="0.2">
      <c r="B50" s="388">
        <v>2.5</v>
      </c>
      <c r="C50" s="24">
        <f t="shared" si="0"/>
        <v>0.17906549803761881</v>
      </c>
      <c r="D50" s="17">
        <f t="shared" si="1"/>
        <v>0.35536420706457222</v>
      </c>
    </row>
    <row r="51" spans="2:4" x14ac:dyDescent="0.2">
      <c r="B51" s="386">
        <v>2.6</v>
      </c>
      <c r="C51" s="24">
        <f t="shared" si="0"/>
        <v>0.17714566547210825</v>
      </c>
      <c r="D51" s="17">
        <f t="shared" si="1"/>
        <v>0.37317687602177113</v>
      </c>
    </row>
    <row r="52" spans="2:4" x14ac:dyDescent="0.2">
      <c r="B52" s="388">
        <v>2.7</v>
      </c>
      <c r="C52" s="24">
        <f t="shared" si="0"/>
        <v>0.17498717593597679</v>
      </c>
      <c r="D52" s="17">
        <f t="shared" si="1"/>
        <v>0.39078538748215497</v>
      </c>
    </row>
    <row r="53" spans="2:4" x14ac:dyDescent="0.2">
      <c r="B53" s="386">
        <v>2.8</v>
      </c>
      <c r="C53" s="24">
        <f t="shared" si="0"/>
        <v>0.17261787475912455</v>
      </c>
      <c r="D53" s="17">
        <f t="shared" si="1"/>
        <v>0.40816728654014456</v>
      </c>
    </row>
    <row r="54" spans="2:4" x14ac:dyDescent="0.2">
      <c r="B54" s="388">
        <v>2.9</v>
      </c>
      <c r="C54" s="24">
        <f t="shared" si="0"/>
        <v>0.17006345886800334</v>
      </c>
      <c r="D54" s="17">
        <f t="shared" si="1"/>
        <v>0.42530279417019584</v>
      </c>
    </row>
    <row r="55" spans="2:4" x14ac:dyDescent="0.2">
      <c r="B55" s="386">
        <v>3</v>
      </c>
      <c r="C55" s="24">
        <f t="shared" si="0"/>
        <v>0.16734762011132237</v>
      </c>
      <c r="D55" s="17">
        <f t="shared" si="1"/>
        <v>0.44217459962892536</v>
      </c>
    </row>
    <row r="56" spans="2:4" x14ac:dyDescent="0.2">
      <c r="B56" s="388">
        <v>3.1</v>
      </c>
      <c r="C56" s="24">
        <f t="shared" si="0"/>
        <v>0.16449217971572591</v>
      </c>
      <c r="D56" s="17">
        <f t="shared" si="1"/>
        <v>0.45876766674180536</v>
      </c>
    </row>
    <row r="57" spans="2:4" x14ac:dyDescent="0.2">
      <c r="B57" s="386">
        <v>3.2</v>
      </c>
      <c r="C57" s="24">
        <f t="shared" si="0"/>
        <v>0.16151721439572439</v>
      </c>
      <c r="D57" s="17">
        <f t="shared" si="1"/>
        <v>0.47506905321389603</v>
      </c>
    </row>
    <row r="58" spans="2:4" x14ac:dyDescent="0.2">
      <c r="B58" s="388">
        <v>3.3</v>
      </c>
      <c r="C58" s="24">
        <f t="shared" si="0"/>
        <v>0.15844117461212218</v>
      </c>
      <c r="D58" s="17">
        <f t="shared" si="1"/>
        <v>0.49106774215500149</v>
      </c>
    </row>
    <row r="59" spans="2:4" x14ac:dyDescent="0.2">
      <c r="B59" s="386">
        <v>3.4</v>
      </c>
      <c r="C59" s="24">
        <f t="shared" si="0"/>
        <v>0.15528099544482449</v>
      </c>
      <c r="D59" s="17">
        <f t="shared" si="1"/>
        <v>0.50675448505761655</v>
      </c>
    </row>
    <row r="60" spans="2:4" x14ac:dyDescent="0.2">
      <c r="B60" s="388">
        <v>3.5</v>
      </c>
      <c r="C60" s="24">
        <f t="shared" si="0"/>
        <v>0.15205220051913951</v>
      </c>
      <c r="D60" s="17">
        <f t="shared" si="1"/>
        <v>0.52212165551127621</v>
      </c>
    </row>
    <row r="61" spans="2:4" x14ac:dyDescent="0.2">
      <c r="B61" s="386">
        <v>3.6</v>
      </c>
      <c r="C61" s="24">
        <f t="shared" si="0"/>
        <v>0.14876899939942792</v>
      </c>
      <c r="D61" s="17">
        <f t="shared" si="1"/>
        <v>0.53716311297955777</v>
      </c>
    </row>
    <row r="62" spans="2:4" x14ac:dyDescent="0.2">
      <c r="B62" s="388">
        <v>3.7</v>
      </c>
      <c r="C62" s="24">
        <f t="shared" si="0"/>
        <v>0.14544437884010555</v>
      </c>
      <c r="D62" s="17">
        <f t="shared" si="1"/>
        <v>0.55187407600616145</v>
      </c>
    </row>
    <row r="63" spans="2:4" x14ac:dyDescent="0.2">
      <c r="B63" s="386">
        <v>3.8</v>
      </c>
      <c r="C63" s="24">
        <f t="shared" si="0"/>
        <v>0.14209018826150333</v>
      </c>
      <c r="D63" s="17">
        <f t="shared" si="1"/>
        <v>0.56625100425435848</v>
      </c>
    </row>
    <row r="64" spans="2:4" x14ac:dyDescent="0.2">
      <c r="B64" s="388">
        <v>3.9</v>
      </c>
      <c r="C64" s="24">
        <f t="shared" si="0"/>
        <v>0.13871721979685075</v>
      </c>
      <c r="D64" s="17">
        <f t="shared" si="1"/>
        <v>0.5802914888197851</v>
      </c>
    </row>
    <row r="65" spans="2:4" x14ac:dyDescent="0.2">
      <c r="B65" s="386">
        <v>4</v>
      </c>
      <c r="C65" s="24">
        <f t="shared" si="0"/>
        <v>0.13533528323661273</v>
      </c>
      <c r="D65" s="17">
        <f t="shared" si="1"/>
        <v>0.59399415029016189</v>
      </c>
    </row>
    <row r="66" spans="2:4" x14ac:dyDescent="0.2">
      <c r="B66" s="388">
        <v>4.0999999999999996</v>
      </c>
      <c r="C66" s="24">
        <f t="shared" si="0"/>
        <v>0.13195327617749936</v>
      </c>
      <c r="D66" s="17">
        <f t="shared" si="1"/>
        <v>0.60735854405719714</v>
      </c>
    </row>
    <row r="67" spans="2:4" x14ac:dyDescent="0.2">
      <c r="B67" s="386">
        <v>4.2</v>
      </c>
      <c r="C67" s="24">
        <f t="shared" si="0"/>
        <v>0.12857924966563103</v>
      </c>
      <c r="D67" s="17">
        <f t="shared" si="1"/>
        <v>0.62038507241575602</v>
      </c>
    </row>
    <row r="68" spans="2:4" x14ac:dyDescent="0.2">
      <c r="B68" s="388">
        <v>4.3</v>
      </c>
      <c r="C68" s="24">
        <f t="shared" si="0"/>
        <v>0.12522046960650926</v>
      </c>
      <c r="D68" s="17">
        <f t="shared" si="1"/>
        <v>0.63307490301348457</v>
      </c>
    </row>
    <row r="69" spans="2:4" x14ac:dyDescent="0.2">
      <c r="B69" s="386">
        <v>4.4000000000000004</v>
      </c>
      <c r="C69" s="24">
        <f t="shared" si="0"/>
        <v>0.12188347419856728</v>
      </c>
      <c r="D69" s="17">
        <f t="shared" si="1"/>
        <v>0.64542989324053157</v>
      </c>
    </row>
    <row r="70" spans="2:4" x14ac:dyDescent="0.2">
      <c r="B70" s="388">
        <v>4.5</v>
      </c>
      <c r="C70" s="24">
        <f t="shared" si="0"/>
        <v>0.11857412763209739</v>
      </c>
      <c r="D70" s="17">
        <f t="shared" si="1"/>
        <v>0.65745252017394096</v>
      </c>
    </row>
    <row r="71" spans="2:4" x14ac:dyDescent="0.2">
      <c r="B71" s="386">
        <v>4.5999999999999996</v>
      </c>
      <c r="C71" s="24">
        <f t="shared" si="0"/>
        <v>0.11529767028122433</v>
      </c>
      <c r="D71" s="17">
        <f t="shared" si="1"/>
        <v>0.66914581571474763</v>
      </c>
    </row>
    <row r="72" spans="2:4" x14ac:dyDescent="0.2">
      <c r="B72" s="388">
        <v>4.7</v>
      </c>
      <c r="C72" s="24">
        <f t="shared" si="0"/>
        <v>0.11205876560327084</v>
      </c>
      <c r="D72" s="17">
        <f t="shared" si="1"/>
        <v>0.68051330657790876</v>
      </c>
    </row>
    <row r="73" spans="2:4" x14ac:dyDescent="0.2">
      <c r="B73" s="386">
        <v>4.8</v>
      </c>
      <c r="C73" s="24">
        <f t="shared" si="0"/>
        <v>0.10886154394729504</v>
      </c>
      <c r="D73" s="17">
        <f t="shared" si="1"/>
        <v>0.69155895881599749</v>
      </c>
    </row>
    <row r="74" spans="2:4" x14ac:dyDescent="0.2">
      <c r="B74" s="388">
        <v>4.9000000000000004</v>
      </c>
      <c r="C74" s="24">
        <f t="shared" si="0"/>
        <v>0.10570964346172887</v>
      </c>
      <c r="D74" s="17">
        <f t="shared" si="1"/>
        <v>0.70228712657717174</v>
      </c>
    </row>
    <row r="75" spans="2:4" x14ac:dyDescent="0.2">
      <c r="B75" s="386">
        <v>5</v>
      </c>
      <c r="C75" s="24">
        <f t="shared" si="0"/>
        <v>0.10260624827987351</v>
      </c>
      <c r="D75" s="17">
        <f t="shared" si="1"/>
        <v>0.71270250481635422</v>
      </c>
    </row>
    <row r="76" spans="2:4" x14ac:dyDescent="0.2">
      <c r="B76" s="388">
        <v>5.0999999999999996</v>
      </c>
      <c r="C76" s="24">
        <f t="shared" si="0"/>
        <v>9.9554124151470288E-2</v>
      </c>
      <c r="D76" s="17">
        <f t="shared" si="1"/>
        <v>0.72281008569590632</v>
      </c>
    </row>
    <row r="77" spans="2:4" x14ac:dyDescent="0.2">
      <c r="B77" s="386">
        <v>5.2</v>
      </c>
      <c r="C77" s="24">
        <f t="shared" si="0"/>
        <v>9.6555651678634044E-2</v>
      </c>
      <c r="D77" s="17">
        <f t="shared" si="1"/>
        <v>0.73261511842839799</v>
      </c>
    </row>
    <row r="78" spans="2:4" x14ac:dyDescent="0.2">
      <c r="B78" s="388">
        <v>5.3</v>
      </c>
      <c r="C78" s="24">
        <f t="shared" si="0"/>
        <v>9.3612857305069214E-2</v>
      </c>
      <c r="D78" s="17">
        <f t="shared" si="1"/>
        <v>0.74212307232943198</v>
      </c>
    </row>
    <row r="79" spans="2:4" x14ac:dyDescent="0.2">
      <c r="B79" s="386">
        <v>5.4</v>
      </c>
      <c r="C79" s="24">
        <f t="shared" si="0"/>
        <v>9.0727442198662189E-2</v>
      </c>
      <c r="D79" s="17">
        <f t="shared" si="1"/>
        <v>0.75133960286292589</v>
      </c>
    </row>
    <row r="80" spans="2:4" x14ac:dyDescent="0.2">
      <c r="B80" s="388">
        <v>5.5</v>
      </c>
      <c r="C80" s="24">
        <f t="shared" si="0"/>
        <v>8.7900809159222923E-2</v>
      </c>
      <c r="D80" s="17">
        <f t="shared" si="1"/>
        <v>0.76027052047484656</v>
      </c>
    </row>
    <row r="81" spans="2:4" x14ac:dyDescent="0.2">
      <c r="B81" s="386">
        <v>5.6</v>
      </c>
      <c r="C81" s="24">
        <f t="shared" si="0"/>
        <v>8.513408767530517E-2</v>
      </c>
      <c r="D81" s="17">
        <f t="shared" si="1"/>
        <v>0.76892176202417173</v>
      </c>
    </row>
    <row r="82" spans="2:4" x14ac:dyDescent="0.2">
      <c r="B82" s="388">
        <v>5.7</v>
      </c>
      <c r="C82" s="24">
        <f t="shared" si="0"/>
        <v>8.2428157246644818E-2</v>
      </c>
      <c r="D82" s="17">
        <f t="shared" si="1"/>
        <v>0.77729936463187199</v>
      </c>
    </row>
    <row r="83" spans="2:4" x14ac:dyDescent="0.2">
      <c r="B83" s="386">
        <v>5.8</v>
      </c>
      <c r="C83" s="24">
        <f t="shared" si="0"/>
        <v>7.9783669081790506E-2</v>
      </c>
      <c r="D83" s="17">
        <f t="shared" si="1"/>
        <v>0.78540944178001182</v>
      </c>
    </row>
    <row r="84" spans="2:4" x14ac:dyDescent="0.2">
      <c r="B84" s="388">
        <v>5.9</v>
      </c>
      <c r="C84" s="24">
        <f t="shared" si="0"/>
        <v>7.7201066273937788E-2</v>
      </c>
      <c r="D84" s="17">
        <f t="shared" si="1"/>
        <v>0.79325816150369211</v>
      </c>
    </row>
    <row r="85" spans="2:4" x14ac:dyDescent="0.2">
      <c r="B85" s="386">
        <v>6</v>
      </c>
      <c r="C85" s="24">
        <f t="shared" si="0"/>
        <v>7.4680602551795913E-2</v>
      </c>
      <c r="D85" s="17">
        <f t="shared" si="1"/>
        <v>0.80085172652854419</v>
      </c>
    </row>
    <row r="86" spans="2:4" x14ac:dyDescent="0.2">
      <c r="B86" s="388">
        <v>6.1</v>
      </c>
      <c r="C86" s="24">
        <f t="shared" si="0"/>
        <v>7.2222359696489921E-2</v>
      </c>
      <c r="D86" s="17">
        <f t="shared" si="1"/>
        <v>0.80819635621587926</v>
      </c>
    </row>
    <row r="87" spans="2:4" x14ac:dyDescent="0.2">
      <c r="B87" s="386">
        <v>6.2</v>
      </c>
      <c r="C87" s="24">
        <f t="shared" si="0"/>
        <v>6.9826263710014616E-2</v>
      </c>
      <c r="D87" s="17">
        <f t="shared" si="1"/>
        <v>0.8152982701864131</v>
      </c>
    </row>
    <row r="88" spans="2:4" x14ac:dyDescent="0.2">
      <c r="B88" s="388">
        <v>6.3</v>
      </c>
      <c r="C88" s="24">
        <f t="shared" si="0"/>
        <v>6.7492099815588305E-2</v>
      </c>
      <c r="D88" s="17">
        <f t="shared" si="1"/>
        <v>0.82216367350178321</v>
      </c>
    </row>
    <row r="89" spans="2:4" x14ac:dyDescent="0.2">
      <c r="B89" s="386">
        <v>6.4</v>
      </c>
      <c r="C89" s="24">
        <f t="shared" si="0"/>
        <v>6.5219526365385944E-2</v>
      </c>
      <c r="D89" s="17">
        <f t="shared" si="1"/>
        <v>0.82879874329086189</v>
      </c>
    </row>
    <row r="90" spans="2:4" x14ac:dyDescent="0.2">
      <c r="B90" s="388">
        <v>6.5</v>
      </c>
      <c r="C90" s="24">
        <f t="shared" ref="C90:C125" si="2">_xlfn.GAMMA.DIST(B90,$B$21,$C$21,FALSE)</f>
        <v>6.3008087726548284E-2</v>
      </c>
      <c r="D90" s="17">
        <f t="shared" ref="D90:D125" si="3">_xlfn.GAMMA.DIST(B90,$B$21,$C$21,TRUE)</f>
        <v>0.83520961671518146</v>
      </c>
    </row>
    <row r="91" spans="2:4" x14ac:dyDescent="0.2">
      <c r="B91" s="386">
        <v>6.6</v>
      </c>
      <c r="C91" s="24">
        <f t="shared" si="2"/>
        <v>6.0857226212046041E-2</v>
      </c>
      <c r="D91" s="17">
        <f t="shared" si="3"/>
        <v>0.84140238017466795</v>
      </c>
    </row>
    <row r="92" spans="2:4" x14ac:dyDescent="0.2">
      <c r="B92" s="388">
        <v>6.7</v>
      </c>
      <c r="C92" s="24">
        <f t="shared" si="2"/>
        <v>5.8766293118915423E-2</v>
      </c>
      <c r="D92" s="17">
        <f t="shared" si="3"/>
        <v>0.8473830596613241</v>
      </c>
    </row>
    <row r="93" spans="2:4" x14ac:dyDescent="0.2">
      <c r="B93" s="386">
        <v>6.8</v>
      </c>
      <c r="C93" s="24">
        <f t="shared" si="2"/>
        <v>5.6734558932554351E-2</v>
      </c>
      <c r="D93" s="17">
        <f t="shared" si="3"/>
        <v>0.85315761217456521</v>
      </c>
    </row>
    <row r="94" spans="2:4" x14ac:dyDescent="0.2">
      <c r="B94" s="388">
        <v>6.9</v>
      </c>
      <c r="C94" s="24">
        <f t="shared" si="2"/>
        <v>5.4761222752167202E-2</v>
      </c>
      <c r="D94" s="17">
        <f t="shared" si="3"/>
        <v>0.85873191811759764</v>
      </c>
    </row>
    <row r="95" spans="2:4" x14ac:dyDescent="0.2">
      <c r="B95" s="386">
        <v>7</v>
      </c>
      <c r="C95" s="24">
        <f t="shared" si="2"/>
        <v>5.2845420989057396E-2</v>
      </c>
      <c r="D95" s="17">
        <f t="shared" si="3"/>
        <v>0.86411177459956678</v>
      </c>
    </row>
    <row r="96" spans="2:4" x14ac:dyDescent="0.2">
      <c r="B96" s="388">
        <v>7.1</v>
      </c>
      <c r="C96" s="24">
        <f t="shared" si="2"/>
        <v>5.0986235386275003E-2</v>
      </c>
      <c r="D96" s="17">
        <f t="shared" si="3"/>
        <v>0.86930288957321056</v>
      </c>
    </row>
    <row r="97" spans="2:4" x14ac:dyDescent="0.2">
      <c r="B97" s="386">
        <v>7.2</v>
      </c>
      <c r="C97" s="24">
        <f t="shared" si="2"/>
        <v>4.9182700405126616E-2</v>
      </c>
      <c r="D97" s="17">
        <f t="shared" si="3"/>
        <v>0.87431087674245422</v>
      </c>
    </row>
    <row r="98" spans="2:4" x14ac:dyDescent="0.2">
      <c r="B98" s="388">
        <v>7.3</v>
      </c>
      <c r="C98" s="24">
        <f t="shared" si="2"/>
        <v>4.7433810021228519E-2</v>
      </c>
      <c r="D98" s="17">
        <f t="shared" si="3"/>
        <v>0.87914125117878761</v>
      </c>
    </row>
    <row r="99" spans="2:4" x14ac:dyDescent="0.2">
      <c r="B99" s="386">
        <v>7.4</v>
      </c>
      <c r="C99" s="24">
        <f t="shared" si="2"/>
        <v>4.5738523970127884E-2</v>
      </c>
      <c r="D99" s="17">
        <f t="shared" si="3"/>
        <v>0.88379942558940483</v>
      </c>
    </row>
    <row r="100" spans="2:4" x14ac:dyDescent="0.2">
      <c r="B100" s="388">
        <v>7.5</v>
      </c>
      <c r="C100" s="24">
        <f t="shared" si="2"/>
        <v>4.4095773480017086E-2</v>
      </c>
      <c r="D100" s="17">
        <f t="shared" si="3"/>
        <v>0.88829070718395675</v>
      </c>
    </row>
    <row r="101" spans="2:4" x14ac:dyDescent="0.2">
      <c r="B101" s="386">
        <v>7.6</v>
      </c>
      <c r="C101" s="24">
        <f t="shared" si="2"/>
        <v>4.2504466526714649E-2</v>
      </c>
      <c r="D101" s="17">
        <f t="shared" si="3"/>
        <v>0.89262029509040519</v>
      </c>
    </row>
    <row r="102" spans="2:4" x14ac:dyDescent="0.2">
      <c r="B102" s="388">
        <v>7.7</v>
      </c>
      <c r="C102" s="24">
        <f t="shared" si="2"/>
        <v>4.0963492643876061E-2</v>
      </c>
      <c r="D102" s="17">
        <f t="shared" si="3"/>
        <v>0.89679327827387079</v>
      </c>
    </row>
    <row r="103" spans="2:4" x14ac:dyDescent="0.2">
      <c r="B103" s="386">
        <v>7.8</v>
      </c>
      <c r="C103" s="24">
        <f t="shared" si="2"/>
        <v>3.9471727319318563E-2</v>
      </c>
      <c r="D103" s="17">
        <f t="shared" si="3"/>
        <v>0.90081463391555849</v>
      </c>
    </row>
    <row r="104" spans="2:4" x14ac:dyDescent="0.2">
      <c r="B104" s="388">
        <v>7.9</v>
      </c>
      <c r="C104" s="24">
        <f t="shared" si="2"/>
        <v>3.8028036006389189E-2</v>
      </c>
      <c r="D104" s="17">
        <f t="shared" si="3"/>
        <v>0.90468922621183467</v>
      </c>
    </row>
    <row r="105" spans="2:4" x14ac:dyDescent="0.2">
      <c r="B105" s="386">
        <v>8</v>
      </c>
      <c r="C105" s="24">
        <f t="shared" si="2"/>
        <v>3.6631277777468364E-2</v>
      </c>
      <c r="D105" s="17">
        <f t="shared" si="3"/>
        <v>0.90842180555632912</v>
      </c>
    </row>
    <row r="106" spans="2:4" x14ac:dyDescent="0.2">
      <c r="B106" s="388">
        <v>8.1</v>
      </c>
      <c r="C106" s="24">
        <f t="shared" si="2"/>
        <v>3.5280308644974376E-2</v>
      </c>
      <c r="D106" s="17">
        <f t="shared" si="3"/>
        <v>0.91201700807055774</v>
      </c>
    </row>
    <row r="107" spans="2:4" x14ac:dyDescent="0.2">
      <c r="B107" s="386">
        <v>8.1999999999999993</v>
      </c>
      <c r="C107" s="24">
        <f t="shared" si="2"/>
        <v>3.3973984573610574E-2</v>
      </c>
      <c r="D107" s="17">
        <f t="shared" si="3"/>
        <v>0.91547935545101766</v>
      </c>
    </row>
    <row r="108" spans="2:4" x14ac:dyDescent="0.2">
      <c r="B108" s="388">
        <v>8.3000000000000007</v>
      </c>
      <c r="C108" s="24">
        <f t="shared" si="2"/>
        <v>3.2711164206073062E-2</v>
      </c>
      <c r="D108" s="17">
        <f t="shared" si="3"/>
        <v>0.91881325510299938</v>
      </c>
    </row>
    <row r="109" spans="2:4" x14ac:dyDescent="0.2">
      <c r="B109" s="386">
        <v>8.4</v>
      </c>
      <c r="C109" s="24">
        <f t="shared" si="2"/>
        <v>3.1490711323003177E-2</v>
      </c>
      <c r="D109" s="17">
        <f t="shared" si="3"/>
        <v>0.92202300053351594</v>
      </c>
    </row>
    <row r="110" spans="2:4" x14ac:dyDescent="0.2">
      <c r="B110" s="388">
        <v>8.5</v>
      </c>
      <c r="C110" s="24">
        <f t="shared" si="2"/>
        <v>3.0311497056623424E-2</v>
      </c>
      <c r="D110" s="17">
        <f t="shared" si="3"/>
        <v>0.92511277197775388</v>
      </c>
    </row>
    <row r="111" spans="2:4" x14ac:dyDescent="0.2">
      <c r="B111" s="386">
        <v>8.6</v>
      </c>
      <c r="C111" s="24">
        <f t="shared" si="2"/>
        <v>2.9172401876232011E-2</v>
      </c>
      <c r="D111" s="17">
        <f t="shared" si="3"/>
        <v>0.92808663723533502</v>
      </c>
    </row>
    <row r="112" spans="2:4" x14ac:dyDescent="0.2">
      <c r="B112" s="388">
        <v>8.6999999999999993</v>
      </c>
      <c r="C112" s="24">
        <f t="shared" si="2"/>
        <v>2.8072317362543727E-2</v>
      </c>
      <c r="D112" s="17">
        <f t="shared" si="3"/>
        <v>0.93094855269443266</v>
      </c>
    </row>
    <row r="113" spans="2:4" x14ac:dyDescent="0.2">
      <c r="B113" s="386">
        <v>8.8000000000000007</v>
      </c>
      <c r="C113" s="24">
        <f t="shared" si="2"/>
        <v>2.7010147786750562E-2</v>
      </c>
      <c r="D113" s="17">
        <f t="shared" si="3"/>
        <v>0.93370236452343047</v>
      </c>
    </row>
    <row r="114" spans="2:4" x14ac:dyDescent="0.2">
      <c r="B114" s="388">
        <v>8.9</v>
      </c>
      <c r="C114" s="24">
        <f t="shared" si="2"/>
        <v>2.5984811509129867E-2</v>
      </c>
      <c r="D114" s="17">
        <f t="shared" si="3"/>
        <v>0.93635181001134482</v>
      </c>
    </row>
    <row r="115" spans="2:4" x14ac:dyDescent="0.2">
      <c r="B115" s="386">
        <v>9</v>
      </c>
      <c r="C115" s="24">
        <f t="shared" si="2"/>
        <v>2.4995242211045189E-2</v>
      </c>
      <c r="D115" s="17">
        <f t="shared" si="3"/>
        <v>0.93890051903966731</v>
      </c>
    </row>
    <row r="116" spans="2:4" x14ac:dyDescent="0.2">
      <c r="B116" s="388">
        <v>9.1</v>
      </c>
      <c r="C116" s="24">
        <f t="shared" si="2"/>
        <v>2.4040389973264794E-2</v>
      </c>
      <c r="D116" s="17">
        <f t="shared" si="3"/>
        <v>0.94135201566961779</v>
      </c>
    </row>
    <row r="117" spans="2:4" x14ac:dyDescent="0.2">
      <c r="B117" s="386">
        <v>9.1999999999999993</v>
      </c>
      <c r="C117" s="24">
        <f t="shared" si="2"/>
        <v>2.3119222212657248E-2</v>
      </c>
      <c r="D117" s="17">
        <f t="shared" si="3"/>
        <v>0.94370971983005192</v>
      </c>
    </row>
    <row r="118" spans="2:4" x14ac:dyDescent="0.2">
      <c r="B118" s="388">
        <v>9.3000000000000007</v>
      </c>
      <c r="C118" s="24">
        <f t="shared" si="2"/>
        <v>2.2230724488513657E-2</v>
      </c>
      <c r="D118" s="17">
        <f t="shared" si="3"/>
        <v>0.94597694909242924</v>
      </c>
    </row>
    <row r="119" spans="2:4" x14ac:dyDescent="0.2">
      <c r="B119" s="386">
        <v>9.4</v>
      </c>
      <c r="C119" s="24">
        <f t="shared" si="2"/>
        <v>2.1373901188985168E-2</v>
      </c>
      <c r="D119" s="17">
        <f t="shared" si="3"/>
        <v>0.94815692052033385</v>
      </c>
    </row>
    <row r="120" spans="2:4" x14ac:dyDescent="0.2">
      <c r="B120" s="388">
        <v>9.5</v>
      </c>
      <c r="C120" s="24">
        <f t="shared" si="2"/>
        <v>2.054777610741151E-2</v>
      </c>
      <c r="D120" s="17">
        <f t="shared" si="3"/>
        <v>0.95025275258205633</v>
      </c>
    </row>
    <row r="121" spans="2:4" x14ac:dyDescent="0.2">
      <c r="B121" s="386">
        <v>9.6</v>
      </c>
      <c r="C121" s="24">
        <f t="shared" si="2"/>
        <v>1.9751392917648072E-2</v>
      </c>
      <c r="D121" s="17">
        <f t="shared" si="3"/>
        <v>0.95226746711568389</v>
      </c>
    </row>
    <row r="122" spans="2:4" x14ac:dyDescent="0.2">
      <c r="B122" s="388">
        <v>9.6999999999999993</v>
      </c>
      <c r="C122" s="24">
        <f t="shared" si="2"/>
        <v>1.8983815556872504E-2</v>
      </c>
      <c r="D122" s="17">
        <f t="shared" si="3"/>
        <v>0.95420399133702927</v>
      </c>
    </row>
    <row r="123" spans="2:4" x14ac:dyDescent="0.2">
      <c r="B123" s="386">
        <v>9.8000000000000007</v>
      </c>
      <c r="C123" s="24">
        <f t="shared" si="2"/>
        <v>1.8244128523764634E-2</v>
      </c>
      <c r="D123" s="17">
        <f t="shared" si="3"/>
        <v>0.95606515988154639</v>
      </c>
    </row>
    <row r="124" spans="2:4" x14ac:dyDescent="0.2">
      <c r="B124" s="388">
        <v>9.9</v>
      </c>
      <c r="C124" s="24">
        <f t="shared" si="2"/>
        <v>1.7531437099403999E-2</v>
      </c>
      <c r="D124" s="17">
        <f t="shared" si="3"/>
        <v>0.95785371687213994</v>
      </c>
    </row>
    <row r="125" spans="2:4" ht="13.5" thickBot="1" x14ac:dyDescent="0.25">
      <c r="B125" s="387">
        <v>10</v>
      </c>
      <c r="C125" s="24">
        <f t="shared" si="2"/>
        <v>1.6844867497713668E-2</v>
      </c>
      <c r="D125" s="17">
        <f t="shared" si="3"/>
        <v>0.95957231800548715</v>
      </c>
    </row>
  </sheetData>
  <mergeCells count="14">
    <mergeCell ref="C23:D23"/>
    <mergeCell ref="D4:I4"/>
    <mergeCell ref="C5:I5"/>
    <mergeCell ref="B19:C19"/>
    <mergeCell ref="E8:F8"/>
    <mergeCell ref="E9:F9"/>
    <mergeCell ref="E10:F10"/>
    <mergeCell ref="E11:F11"/>
    <mergeCell ref="E14:F14"/>
    <mergeCell ref="E13:F13"/>
    <mergeCell ref="E12:F12"/>
    <mergeCell ref="E16:F16"/>
    <mergeCell ref="E15:F15"/>
    <mergeCell ref="E17:F17"/>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B1" workbookViewId="0">
      <selection activeCell="K30" sqref="K30"/>
    </sheetView>
  </sheetViews>
  <sheetFormatPr baseColWidth="10" defaultRowHeight="12.75" x14ac:dyDescent="0.2"/>
  <cols>
    <col min="1" max="1" width="3.7109375" customWidth="1"/>
    <col min="2" max="2" width="24" customWidth="1"/>
    <col min="3" max="3" width="16.5703125" customWidth="1"/>
    <col min="4" max="4" width="26" customWidth="1"/>
    <col min="5" max="5" width="19" customWidth="1"/>
    <col min="6" max="6" width="9.42578125" customWidth="1"/>
    <col min="7" max="7" width="8" customWidth="1"/>
    <col min="8" max="8" width="8.85546875" customWidth="1"/>
    <col min="9" max="9" width="8.5703125" customWidth="1"/>
  </cols>
  <sheetData>
    <row r="1" spans="1:9" ht="18" customHeight="1" x14ac:dyDescent="0.25">
      <c r="B1" s="10" t="s">
        <v>8</v>
      </c>
      <c r="C1" s="11"/>
      <c r="D1" s="290" t="s">
        <v>482</v>
      </c>
      <c r="E1" s="289"/>
      <c r="F1" s="289"/>
      <c r="G1" s="289"/>
      <c r="H1" s="289"/>
      <c r="I1" s="289"/>
    </row>
    <row r="2" spans="1:9" ht="18" customHeight="1" x14ac:dyDescent="0.25">
      <c r="B2" s="10" t="s">
        <v>16</v>
      </c>
      <c r="C2" s="11"/>
      <c r="D2" s="290" t="s">
        <v>483</v>
      </c>
      <c r="E2" s="289"/>
      <c r="F2" s="289"/>
      <c r="G2" s="289"/>
      <c r="H2" s="289"/>
      <c r="I2" s="289"/>
    </row>
    <row r="3" spans="1:9" ht="18" customHeight="1" x14ac:dyDescent="0.2">
      <c r="B3" s="10" t="s">
        <v>17</v>
      </c>
      <c r="C3" s="11"/>
      <c r="D3" s="291" t="s">
        <v>18</v>
      </c>
      <c r="E3" s="289"/>
      <c r="F3" s="289"/>
      <c r="G3" s="289"/>
      <c r="H3" s="289"/>
      <c r="I3" s="289"/>
    </row>
    <row r="4" spans="1:9" ht="18" customHeight="1" x14ac:dyDescent="0.2">
      <c r="B4" s="10" t="s">
        <v>19</v>
      </c>
      <c r="C4" s="11"/>
      <c r="D4" s="612" t="s">
        <v>484</v>
      </c>
      <c r="E4" s="600"/>
      <c r="F4" s="600"/>
      <c r="G4" s="600"/>
      <c r="H4" s="600"/>
      <c r="I4" s="600"/>
    </row>
    <row r="5" spans="1:9" ht="52.5" customHeight="1" x14ac:dyDescent="0.2">
      <c r="B5" s="13" t="s">
        <v>20</v>
      </c>
      <c r="C5" s="611" t="s">
        <v>182</v>
      </c>
      <c r="D5" s="600"/>
      <c r="E5" s="600"/>
      <c r="F5" s="600"/>
      <c r="G5" s="600"/>
      <c r="H5" s="600"/>
      <c r="I5" s="600"/>
    </row>
    <row r="7" spans="1:9" ht="13.5" thickBot="1" x14ac:dyDescent="0.25">
      <c r="B7" s="22"/>
      <c r="C7" s="22"/>
      <c r="D7" s="22"/>
      <c r="E7" s="22"/>
    </row>
    <row r="8" spans="1:9" ht="13.5" thickBot="1" x14ac:dyDescent="0.25">
      <c r="A8" s="17"/>
      <c r="B8" s="570" t="s">
        <v>357</v>
      </c>
      <c r="C8" s="211" t="s">
        <v>359</v>
      </c>
      <c r="D8" s="223" t="s">
        <v>358</v>
      </c>
      <c r="E8" s="507" t="s">
        <v>360</v>
      </c>
    </row>
    <row r="9" spans="1:9" x14ac:dyDescent="0.2">
      <c r="A9" s="17"/>
      <c r="B9" s="567">
        <v>3</v>
      </c>
      <c r="C9" s="44">
        <v>4</v>
      </c>
      <c r="D9" s="458">
        <f>_xlfn.Z.TEST(B9:B18,C9)</f>
        <v>9.0574196851363808E-2</v>
      </c>
      <c r="E9" s="511">
        <f>D9</f>
        <v>9.0574196851363808E-2</v>
      </c>
    </row>
    <row r="10" spans="1:9" x14ac:dyDescent="0.2">
      <c r="A10" s="17"/>
      <c r="B10" s="568">
        <v>6</v>
      </c>
      <c r="C10" s="45"/>
      <c r="D10" s="584" t="s">
        <v>485</v>
      </c>
      <c r="E10" s="571"/>
    </row>
    <row r="11" spans="1:9" x14ac:dyDescent="0.2">
      <c r="A11" s="17"/>
      <c r="B11" s="567">
        <v>7</v>
      </c>
      <c r="C11" s="44">
        <v>6</v>
      </c>
      <c r="D11" s="572">
        <f>_xlfn.Z.TEST(B9:B18,C11)</f>
        <v>0.86304338912953005</v>
      </c>
      <c r="E11" s="511">
        <f>D11</f>
        <v>0.86304338912953005</v>
      </c>
    </row>
    <row r="12" spans="1:9" x14ac:dyDescent="0.2">
      <c r="A12" s="17"/>
      <c r="B12" s="568">
        <v>8</v>
      </c>
      <c r="C12" s="45"/>
      <c r="D12" s="584" t="s">
        <v>486</v>
      </c>
      <c r="E12" s="25"/>
    </row>
    <row r="13" spans="1:9" x14ac:dyDescent="0.2">
      <c r="A13" s="17"/>
      <c r="B13" s="567">
        <v>6</v>
      </c>
      <c r="C13" s="24"/>
      <c r="D13" s="17"/>
      <c r="E13" s="26"/>
    </row>
    <row r="14" spans="1:9" x14ac:dyDescent="0.2">
      <c r="A14" s="17"/>
      <c r="B14" s="568">
        <v>5</v>
      </c>
      <c r="C14" s="25"/>
      <c r="D14" s="18"/>
      <c r="E14" s="25"/>
    </row>
    <row r="15" spans="1:9" x14ac:dyDescent="0.2">
      <c r="A15" s="17"/>
      <c r="B15" s="567">
        <v>4</v>
      </c>
      <c r="C15" s="24"/>
      <c r="D15" s="17"/>
      <c r="E15" s="26"/>
    </row>
    <row r="16" spans="1:9" x14ac:dyDescent="0.2">
      <c r="A16" s="17"/>
      <c r="B16" s="568">
        <v>2</v>
      </c>
      <c r="C16" s="25"/>
      <c r="D16" s="18"/>
      <c r="E16" s="25"/>
    </row>
    <row r="17" spans="1:6" x14ac:dyDescent="0.2">
      <c r="A17" s="17"/>
      <c r="B17" s="567">
        <v>1</v>
      </c>
      <c r="C17" s="24"/>
      <c r="D17" s="17"/>
      <c r="E17" s="26"/>
    </row>
    <row r="18" spans="1:6" ht="13.5" thickBot="1" x14ac:dyDescent="0.25">
      <c r="A18" s="17"/>
      <c r="B18" s="569">
        <v>9</v>
      </c>
      <c r="C18" s="55"/>
      <c r="D18" s="450"/>
      <c r="E18" s="573"/>
    </row>
    <row r="19" spans="1:6" x14ac:dyDescent="0.2">
      <c r="B19" s="566"/>
      <c r="E19" s="523"/>
    </row>
    <row r="20" spans="1:6" x14ac:dyDescent="0.2">
      <c r="B20" s="63"/>
      <c r="C20" s="566"/>
      <c r="D20" s="566"/>
      <c r="E20" s="523"/>
    </row>
    <row r="21" spans="1:6" x14ac:dyDescent="0.2">
      <c r="B21" s="63"/>
      <c r="C21" s="63"/>
      <c r="D21" s="63"/>
      <c r="E21" s="523"/>
    </row>
    <row r="22" spans="1:6" x14ac:dyDescent="0.2">
      <c r="B22" s="63"/>
      <c r="C22" s="63"/>
      <c r="D22" s="63"/>
      <c r="E22" s="523"/>
    </row>
    <row r="23" spans="1:6" x14ac:dyDescent="0.2">
      <c r="B23" s="63"/>
      <c r="C23" s="63"/>
      <c r="D23" s="63"/>
      <c r="E23" s="523"/>
    </row>
    <row r="24" spans="1:6" x14ac:dyDescent="0.2">
      <c r="B24" s="63"/>
      <c r="C24" s="63"/>
      <c r="D24" s="63"/>
      <c r="E24" s="523"/>
    </row>
    <row r="25" spans="1:6" x14ac:dyDescent="0.2">
      <c r="B25" s="39"/>
      <c r="C25" s="6"/>
      <c r="D25" s="6"/>
      <c r="E25" s="523"/>
    </row>
    <row r="26" spans="1:6" x14ac:dyDescent="0.2">
      <c r="B26" s="39"/>
      <c r="C26" s="6"/>
      <c r="D26" s="6"/>
      <c r="E26" s="523"/>
    </row>
    <row r="27" spans="1:6" x14ac:dyDescent="0.2">
      <c r="B27" s="39"/>
      <c r="C27" s="6"/>
      <c r="D27" s="6"/>
      <c r="E27" s="523"/>
    </row>
    <row r="28" spans="1:6" x14ac:dyDescent="0.2">
      <c r="B28" s="39"/>
      <c r="C28" s="6"/>
      <c r="D28" s="6"/>
      <c r="E28" s="6"/>
      <c r="F28" s="377"/>
    </row>
    <row r="29" spans="1:6" x14ac:dyDescent="0.2">
      <c r="B29" s="39"/>
      <c r="C29" s="6"/>
      <c r="D29" s="6"/>
      <c r="E29" s="6"/>
    </row>
    <row r="30" spans="1:6" x14ac:dyDescent="0.2">
      <c r="B30" s="39"/>
      <c r="C30" s="6"/>
      <c r="D30" s="6"/>
      <c r="E30" s="6"/>
    </row>
    <row r="31" spans="1:6" x14ac:dyDescent="0.2">
      <c r="B31" s="39"/>
      <c r="C31" s="6"/>
      <c r="D31" s="6"/>
      <c r="E31" s="6"/>
    </row>
    <row r="32" spans="1:6" x14ac:dyDescent="0.2">
      <c r="B32" s="39"/>
      <c r="C32" s="6"/>
      <c r="D32" s="6"/>
      <c r="E32" s="6"/>
    </row>
    <row r="33" spans="2:5" x14ac:dyDescent="0.2">
      <c r="B33" s="39"/>
      <c r="C33" s="6"/>
      <c r="D33" s="6"/>
      <c r="E33" s="6"/>
    </row>
    <row r="34" spans="2:5" x14ac:dyDescent="0.2">
      <c r="B34" s="39"/>
      <c r="C34" s="6"/>
      <c r="D34" s="6"/>
      <c r="E34" s="6"/>
    </row>
    <row r="35" spans="2:5" x14ac:dyDescent="0.2">
      <c r="B35" s="39"/>
      <c r="C35" s="6"/>
      <c r="D35" s="6"/>
      <c r="E35" s="6"/>
    </row>
    <row r="36" spans="2:5" x14ac:dyDescent="0.2">
      <c r="B36" s="39"/>
      <c r="C36" s="6"/>
      <c r="D36" s="6"/>
      <c r="E36" s="6"/>
    </row>
    <row r="37" spans="2:5" x14ac:dyDescent="0.2">
      <c r="B37" s="39"/>
      <c r="C37" s="6"/>
      <c r="D37" s="6"/>
      <c r="E37" s="6"/>
    </row>
    <row r="38" spans="2:5" x14ac:dyDescent="0.2">
      <c r="B38" s="39"/>
      <c r="C38" s="6"/>
      <c r="D38" s="6"/>
      <c r="E38" s="6"/>
    </row>
    <row r="39" spans="2:5" x14ac:dyDescent="0.2">
      <c r="B39" s="39"/>
      <c r="C39" s="6"/>
      <c r="D39" s="6"/>
      <c r="E39" s="6"/>
    </row>
    <row r="40" spans="2:5" x14ac:dyDescent="0.2">
      <c r="B40" s="39"/>
      <c r="C40" s="6"/>
      <c r="D40" s="6"/>
      <c r="E40" s="6"/>
    </row>
    <row r="41" spans="2:5" x14ac:dyDescent="0.2">
      <c r="B41" s="39"/>
      <c r="C41" s="6"/>
      <c r="D41" s="6"/>
      <c r="E41" s="6"/>
    </row>
    <row r="42" spans="2:5" x14ac:dyDescent="0.2">
      <c r="B42" s="39"/>
      <c r="C42" s="6"/>
      <c r="D42" s="6"/>
      <c r="E42" s="6"/>
    </row>
    <row r="43" spans="2:5" x14ac:dyDescent="0.2">
      <c r="B43" s="39"/>
      <c r="C43" s="6"/>
      <c r="D43" s="6"/>
      <c r="E43" s="6"/>
    </row>
    <row r="44" spans="2:5" x14ac:dyDescent="0.2">
      <c r="B44" s="39"/>
      <c r="C44" s="6"/>
      <c r="D44" s="6"/>
      <c r="E44" s="6"/>
    </row>
    <row r="45" spans="2:5" x14ac:dyDescent="0.2">
      <c r="B45" s="39"/>
      <c r="C45" s="6"/>
      <c r="D45" s="6"/>
      <c r="E45" s="6"/>
    </row>
    <row r="46" spans="2:5" x14ac:dyDescent="0.2">
      <c r="B46" s="39"/>
      <c r="C46" s="6"/>
      <c r="D46" s="6"/>
      <c r="E46" s="6"/>
    </row>
    <row r="47" spans="2:5" x14ac:dyDescent="0.2">
      <c r="B47" s="39"/>
      <c r="C47" s="6"/>
      <c r="D47" s="6"/>
      <c r="E47" s="6"/>
    </row>
    <row r="48" spans="2:5" x14ac:dyDescent="0.2">
      <c r="B48" s="39"/>
      <c r="C48" s="6"/>
      <c r="D48" s="6"/>
      <c r="E48" s="6"/>
    </row>
    <row r="49" spans="2:5" x14ac:dyDescent="0.2">
      <c r="B49" s="39"/>
      <c r="C49" s="6"/>
      <c r="D49" s="6"/>
      <c r="E49" s="6"/>
    </row>
    <row r="50" spans="2:5" x14ac:dyDescent="0.2">
      <c r="B50" s="39"/>
      <c r="C50" s="6"/>
      <c r="D50" s="6"/>
      <c r="E50" s="6"/>
    </row>
  </sheetData>
  <mergeCells count="2">
    <mergeCell ref="D4:I4"/>
    <mergeCell ref="C5:I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B1" workbookViewId="0">
      <selection activeCell="L29" sqref="L29"/>
    </sheetView>
  </sheetViews>
  <sheetFormatPr baseColWidth="10" defaultRowHeight="12.75" x14ac:dyDescent="0.2"/>
  <cols>
    <col min="1" max="1" width="3.85546875" customWidth="1"/>
    <col min="2" max="2" width="19.140625" customWidth="1"/>
    <col min="3" max="3" width="17.42578125" customWidth="1"/>
  </cols>
  <sheetData>
    <row r="1" spans="1:9" ht="18" customHeight="1" x14ac:dyDescent="0.25">
      <c r="B1" s="10" t="s">
        <v>8</v>
      </c>
      <c r="C1" s="11"/>
      <c r="D1" s="290" t="s">
        <v>487</v>
      </c>
      <c r="E1" s="289"/>
      <c r="F1" s="289"/>
      <c r="G1" s="289"/>
      <c r="H1" s="289"/>
      <c r="I1" s="289"/>
    </row>
    <row r="2" spans="1:9" ht="18" customHeight="1" x14ac:dyDescent="0.25">
      <c r="B2" s="10" t="s">
        <v>16</v>
      </c>
      <c r="C2" s="11"/>
      <c r="D2" s="290" t="s">
        <v>155</v>
      </c>
      <c r="E2" s="289"/>
      <c r="F2" s="289"/>
      <c r="G2" s="289"/>
      <c r="H2" s="289"/>
      <c r="I2" s="289"/>
    </row>
    <row r="3" spans="1:9" ht="18" customHeight="1" x14ac:dyDescent="0.2">
      <c r="B3" s="10" t="s">
        <v>17</v>
      </c>
      <c r="C3" s="11"/>
      <c r="D3" s="291" t="s">
        <v>18</v>
      </c>
      <c r="E3" s="289"/>
      <c r="F3" s="289"/>
      <c r="G3" s="289"/>
      <c r="H3" s="289"/>
      <c r="I3" s="289"/>
    </row>
    <row r="4" spans="1:9" ht="18" customHeight="1" x14ac:dyDescent="0.2">
      <c r="B4" s="10" t="s">
        <v>19</v>
      </c>
      <c r="C4" s="11"/>
      <c r="D4" s="612" t="s">
        <v>488</v>
      </c>
      <c r="E4" s="600"/>
      <c r="F4" s="600"/>
      <c r="G4" s="600"/>
      <c r="H4" s="600"/>
      <c r="I4" s="600"/>
    </row>
    <row r="5" spans="1:9" ht="67.5" customHeight="1" x14ac:dyDescent="0.2">
      <c r="B5" s="13" t="s">
        <v>20</v>
      </c>
      <c r="C5" s="611" t="s">
        <v>598</v>
      </c>
      <c r="D5" s="600"/>
      <c r="E5" s="600"/>
      <c r="F5" s="600"/>
      <c r="G5" s="600"/>
      <c r="H5" s="600"/>
      <c r="I5" s="600"/>
    </row>
    <row r="7" spans="1:9" ht="15" x14ac:dyDescent="0.25">
      <c r="B7" s="361" t="s">
        <v>172</v>
      </c>
    </row>
    <row r="8" spans="1:9" ht="13.5" thickBot="1" x14ac:dyDescent="0.25">
      <c r="B8" s="22"/>
      <c r="C8" s="22"/>
      <c r="D8" s="22"/>
      <c r="E8" s="22"/>
      <c r="F8" s="22"/>
      <c r="G8" s="22"/>
      <c r="H8" s="22"/>
      <c r="I8" s="22"/>
    </row>
    <row r="9" spans="1:9" s="321" customFormat="1" ht="18" customHeight="1" thickBot="1" x14ac:dyDescent="0.25">
      <c r="A9" s="284"/>
      <c r="B9" s="362" t="s">
        <v>169</v>
      </c>
      <c r="C9" s="373">
        <v>6</v>
      </c>
      <c r="D9" s="365">
        <v>5</v>
      </c>
      <c r="E9" s="365">
        <v>4</v>
      </c>
      <c r="F9" s="365">
        <v>3</v>
      </c>
      <c r="G9" s="365">
        <v>2</v>
      </c>
      <c r="H9" s="365">
        <v>1</v>
      </c>
      <c r="I9" s="366">
        <v>0</v>
      </c>
    </row>
    <row r="10" spans="1:9" s="321" customFormat="1" ht="18" customHeight="1" thickBot="1" x14ac:dyDescent="0.25">
      <c r="A10" s="284"/>
      <c r="B10" s="363" t="s">
        <v>377</v>
      </c>
      <c r="C10" s="374">
        <v>6</v>
      </c>
      <c r="D10" s="349">
        <v>6</v>
      </c>
      <c r="E10" s="349">
        <v>6</v>
      </c>
      <c r="F10" s="349">
        <v>6</v>
      </c>
      <c r="G10" s="349">
        <v>6</v>
      </c>
      <c r="H10" s="349">
        <v>6</v>
      </c>
      <c r="I10" s="347">
        <v>6</v>
      </c>
    </row>
    <row r="11" spans="1:9" s="321" customFormat="1" ht="18" customHeight="1" thickBot="1" x14ac:dyDescent="0.25">
      <c r="A11" s="284"/>
      <c r="B11" s="363" t="s">
        <v>170</v>
      </c>
      <c r="C11" s="375">
        <v>6</v>
      </c>
      <c r="D11" s="365">
        <v>6</v>
      </c>
      <c r="E11" s="365">
        <v>6</v>
      </c>
      <c r="F11" s="365">
        <v>6</v>
      </c>
      <c r="G11" s="365">
        <v>6</v>
      </c>
      <c r="H11" s="365">
        <v>6</v>
      </c>
      <c r="I11" s="351">
        <v>6</v>
      </c>
    </row>
    <row r="12" spans="1:9" s="321" customFormat="1" ht="18" customHeight="1" thickBot="1" x14ac:dyDescent="0.25">
      <c r="A12" s="284"/>
      <c r="B12" s="363" t="s">
        <v>171</v>
      </c>
      <c r="C12" s="367">
        <v>49</v>
      </c>
      <c r="D12" s="368">
        <v>49</v>
      </c>
      <c r="E12" s="368">
        <v>49</v>
      </c>
      <c r="F12" s="368">
        <v>49</v>
      </c>
      <c r="G12" s="368">
        <v>49</v>
      </c>
      <c r="H12" s="368">
        <v>49</v>
      </c>
      <c r="I12" s="369">
        <v>49</v>
      </c>
    </row>
    <row r="13" spans="1:9" s="321" customFormat="1" ht="18" customHeight="1" thickBot="1" x14ac:dyDescent="0.25">
      <c r="A13" s="284"/>
      <c r="B13" s="364" t="s">
        <v>173</v>
      </c>
      <c r="C13" s="370">
        <f>_xlfn.HYPGEOM.DIST(C9,C10,C11,C12,FALSE)</f>
        <v>7.1511238420185226E-8</v>
      </c>
      <c r="D13" s="371">
        <f>_xlfn.HYPGEOM.DIST(D9,D10,D11,D12,FALSE)</f>
        <v>1.8449899512407789E-5</v>
      </c>
      <c r="E13" s="372">
        <f>_xlfn.HYPGEOM.DIST(E9,E10,E11,E12,FALSE)</f>
        <v>9.6861972440140832E-4</v>
      </c>
      <c r="F13" s="372">
        <f t="shared" ref="F13:I13" si="0">_xlfn.HYPGEOM.DIST(F9,F10,F11,F12,FALSE)</f>
        <v>1.7650403866870088E-2</v>
      </c>
      <c r="G13" s="372">
        <f t="shared" si="0"/>
        <v>0.13237802900152582</v>
      </c>
      <c r="H13" s="372">
        <f t="shared" si="0"/>
        <v>0.41301945048476041</v>
      </c>
      <c r="I13" s="372">
        <f t="shared" si="0"/>
        <v>0.43596497551169155</v>
      </c>
    </row>
    <row r="14" spans="1:9" s="321" customFormat="1" ht="18" customHeight="1" x14ac:dyDescent="0.2">
      <c r="C14" s="596" t="s">
        <v>599</v>
      </c>
    </row>
    <row r="16" spans="1:9" s="321" customFormat="1" ht="15.95" customHeight="1" x14ac:dyDescent="0.2">
      <c r="B16" s="376" t="s">
        <v>174</v>
      </c>
      <c r="C16" s="227"/>
      <c r="D16" s="227"/>
      <c r="E16" s="227"/>
      <c r="F16" s="227"/>
      <c r="G16" s="227"/>
      <c r="H16" s="227"/>
      <c r="I16" s="227"/>
    </row>
    <row r="17" spans="2:9" s="321" customFormat="1" ht="15.95" customHeight="1" x14ac:dyDescent="0.2">
      <c r="B17" s="227" t="s">
        <v>175</v>
      </c>
      <c r="C17" s="227"/>
      <c r="D17" s="227"/>
      <c r="E17" s="227"/>
      <c r="F17" s="227"/>
      <c r="G17" s="227"/>
      <c r="H17" s="227"/>
      <c r="I17" s="227"/>
    </row>
    <row r="18" spans="2:9" s="321" customFormat="1" ht="15.95" customHeight="1" x14ac:dyDescent="0.2">
      <c r="B18" s="227" t="s">
        <v>176</v>
      </c>
      <c r="C18" s="227"/>
      <c r="D18" s="227"/>
      <c r="E18" s="227"/>
      <c r="F18" s="227"/>
      <c r="G18" s="227"/>
      <c r="H18" s="227"/>
      <c r="I18" s="227"/>
    </row>
    <row r="19" spans="2:9" s="321" customFormat="1" ht="15.95" customHeight="1" x14ac:dyDescent="0.2">
      <c r="B19" s="227" t="s">
        <v>177</v>
      </c>
      <c r="C19" s="227"/>
      <c r="D19" s="227"/>
      <c r="E19" s="227"/>
      <c r="F19" s="227"/>
      <c r="G19" s="227"/>
      <c r="H19" s="227"/>
      <c r="I19" s="227"/>
    </row>
    <row r="20" spans="2:9" s="321" customFormat="1" ht="15.95" customHeight="1" x14ac:dyDescent="0.2">
      <c r="B20" s="227" t="s">
        <v>178</v>
      </c>
      <c r="C20" s="227"/>
      <c r="D20" s="227"/>
      <c r="E20" s="227"/>
      <c r="F20" s="227"/>
      <c r="G20" s="227"/>
      <c r="H20" s="227"/>
      <c r="I20" s="227"/>
    </row>
    <row r="21" spans="2:9" s="321" customFormat="1" ht="15.95" customHeight="1" x14ac:dyDescent="0.2">
      <c r="B21" s="227" t="s">
        <v>179</v>
      </c>
      <c r="C21" s="227"/>
      <c r="D21" s="227"/>
      <c r="E21" s="227"/>
      <c r="F21" s="227"/>
      <c r="G21" s="227"/>
      <c r="H21" s="227"/>
      <c r="I21" s="227"/>
    </row>
    <row r="22" spans="2:9" s="321" customFormat="1" ht="15.95" customHeight="1" x14ac:dyDescent="0.2">
      <c r="B22" s="227" t="s">
        <v>180</v>
      </c>
      <c r="C22" s="227"/>
      <c r="D22" s="227"/>
      <c r="E22" s="227"/>
      <c r="F22" s="227"/>
      <c r="G22" s="227"/>
      <c r="H22" s="227"/>
      <c r="I22" s="227"/>
    </row>
    <row r="23" spans="2:9" s="321" customFormat="1" ht="15.95" customHeight="1" x14ac:dyDescent="0.2">
      <c r="B23" s="227" t="s">
        <v>181</v>
      </c>
      <c r="C23" s="227"/>
      <c r="D23" s="227"/>
      <c r="E23" s="227"/>
      <c r="F23" s="227"/>
      <c r="G23" s="227"/>
      <c r="H23" s="227"/>
      <c r="I23" s="227"/>
    </row>
  </sheetData>
  <mergeCells count="2">
    <mergeCell ref="D4:I4"/>
    <mergeCell ref="C5:I5"/>
  </mergeCells>
  <phoneticPr fontId="5" type="noConversion"/>
  <pageMargins left="0.78740157499999996" right="0.78740157499999996" top="0.984251969" bottom="0.984251969" header="0.4921259845" footer="0.492125984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opLeftCell="B1" workbookViewId="0">
      <selection activeCell="L45" sqref="L45"/>
    </sheetView>
  </sheetViews>
  <sheetFormatPr baseColWidth="10" defaultRowHeight="12.75" x14ac:dyDescent="0.2"/>
  <cols>
    <col min="1" max="1" width="4.7109375" customWidth="1"/>
    <col min="2" max="2" width="20.85546875" customWidth="1"/>
    <col min="3" max="3" width="15.7109375" customWidth="1"/>
    <col min="4" max="4" width="16.7109375" customWidth="1"/>
    <col min="5" max="5" width="15.5703125" customWidth="1"/>
    <col min="6" max="6" width="27.28515625" customWidth="1"/>
    <col min="7" max="7" width="31.140625" customWidth="1"/>
    <col min="8" max="8" width="31" customWidth="1"/>
  </cols>
  <sheetData>
    <row r="1" spans="1:8" ht="18" customHeight="1" x14ac:dyDescent="0.2">
      <c r="B1" s="62" t="s">
        <v>8</v>
      </c>
      <c r="C1" s="439"/>
      <c r="D1" s="440" t="s">
        <v>489</v>
      </c>
      <c r="E1" s="441"/>
      <c r="F1" s="441"/>
      <c r="G1" s="441"/>
      <c r="H1" s="441"/>
    </row>
    <row r="2" spans="1:8" ht="18" customHeight="1" x14ac:dyDescent="0.2">
      <c r="B2" s="62" t="s">
        <v>16</v>
      </c>
      <c r="C2" s="439"/>
      <c r="D2" s="440" t="s">
        <v>490</v>
      </c>
      <c r="E2" s="441"/>
      <c r="F2" s="441"/>
      <c r="G2" s="441"/>
      <c r="H2" s="441"/>
    </row>
    <row r="3" spans="1:8" ht="18" customHeight="1" x14ac:dyDescent="0.2">
      <c r="B3" s="62" t="s">
        <v>17</v>
      </c>
      <c r="C3" s="439"/>
      <c r="D3" s="62" t="s">
        <v>18</v>
      </c>
      <c r="E3" s="441"/>
      <c r="F3" s="441"/>
      <c r="G3" s="441"/>
      <c r="H3" s="441"/>
    </row>
    <row r="4" spans="1:8" ht="18" customHeight="1" x14ac:dyDescent="0.2">
      <c r="B4" s="62" t="s">
        <v>19</v>
      </c>
      <c r="C4" s="439"/>
      <c r="D4" s="650" t="s">
        <v>491</v>
      </c>
      <c r="E4" s="651"/>
      <c r="F4" s="651"/>
      <c r="G4" s="651"/>
      <c r="H4" s="651"/>
    </row>
    <row r="5" spans="1:8" ht="54.75" customHeight="1" x14ac:dyDescent="0.2">
      <c r="B5" s="13" t="s">
        <v>20</v>
      </c>
      <c r="C5" s="611" t="s">
        <v>252</v>
      </c>
      <c r="D5" s="600"/>
      <c r="E5" s="600"/>
      <c r="F5" s="600"/>
      <c r="G5" s="600"/>
      <c r="H5" s="600"/>
    </row>
    <row r="7" spans="1:8" ht="13.5" thickBot="1" x14ac:dyDescent="0.25"/>
    <row r="8" spans="1:8" ht="26.25" thickBot="1" x14ac:dyDescent="0.25">
      <c r="B8" s="17"/>
      <c r="C8" s="405" t="s">
        <v>201</v>
      </c>
      <c r="D8" s="406" t="s">
        <v>202</v>
      </c>
      <c r="F8" s="22"/>
      <c r="G8" s="22"/>
      <c r="H8" s="22"/>
    </row>
    <row r="9" spans="1:8" ht="13.5" thickBot="1" x14ac:dyDescent="0.25">
      <c r="B9" s="75"/>
      <c r="C9" s="408" t="s">
        <v>199</v>
      </c>
      <c r="D9" s="191" t="s">
        <v>200</v>
      </c>
      <c r="E9" s="24"/>
      <c r="F9" s="447" t="s">
        <v>259</v>
      </c>
      <c r="G9" s="462" t="s">
        <v>199</v>
      </c>
      <c r="H9" s="409" t="s">
        <v>200</v>
      </c>
    </row>
    <row r="10" spans="1:8" x14ac:dyDescent="0.2">
      <c r="A10" s="17"/>
      <c r="B10" s="397">
        <v>38353</v>
      </c>
      <c r="C10" s="398">
        <v>89</v>
      </c>
      <c r="D10" s="461" t="s">
        <v>256</v>
      </c>
      <c r="E10" s="24"/>
      <c r="F10" s="24" t="s">
        <v>273</v>
      </c>
      <c r="G10" s="474">
        <f>AVERAGE(C10:C52)</f>
        <v>11308.116279069767</v>
      </c>
      <c r="H10" s="475">
        <f>AVERAGE(D10:D52)</f>
        <v>869.5</v>
      </c>
    </row>
    <row r="11" spans="1:8" x14ac:dyDescent="0.2">
      <c r="A11" s="17"/>
      <c r="B11" s="400">
        <v>38384</v>
      </c>
      <c r="C11" s="401">
        <v>65</v>
      </c>
      <c r="D11" s="401">
        <v>4</v>
      </c>
      <c r="E11" s="24"/>
      <c r="F11" s="25" t="s">
        <v>272</v>
      </c>
      <c r="G11" s="476">
        <f>STDEV(C10:C52)</f>
        <v>9379.8948674413459</v>
      </c>
      <c r="H11" s="36">
        <f>STDEV(D10:D52)</f>
        <v>658.52170918156878</v>
      </c>
    </row>
    <row r="12" spans="1:8" x14ac:dyDescent="0.2">
      <c r="A12" s="17"/>
      <c r="B12" s="397">
        <v>38412</v>
      </c>
      <c r="C12" s="399">
        <v>198</v>
      </c>
      <c r="D12" s="399">
        <v>65</v>
      </c>
      <c r="E12" s="24"/>
      <c r="F12" s="24" t="s">
        <v>254</v>
      </c>
      <c r="G12" s="44">
        <v>0.05</v>
      </c>
      <c r="H12" s="32">
        <v>0.05</v>
      </c>
    </row>
    <row r="13" spans="1:8" ht="13.5" thickBot="1" x14ac:dyDescent="0.25">
      <c r="A13" s="17"/>
      <c r="B13" s="400">
        <v>38443</v>
      </c>
      <c r="C13" s="401">
        <v>358</v>
      </c>
      <c r="D13" s="401">
        <v>38</v>
      </c>
      <c r="E13" s="24"/>
      <c r="F13" s="55" t="s">
        <v>253</v>
      </c>
      <c r="G13" s="46">
        <f>COUNT(C10:C52)</f>
        <v>43</v>
      </c>
      <c r="H13" s="56">
        <f>COUNT(D10:D52)</f>
        <v>42</v>
      </c>
    </row>
    <row r="14" spans="1:8" x14ac:dyDescent="0.2">
      <c r="A14" s="17"/>
      <c r="B14" s="397">
        <v>38473</v>
      </c>
      <c r="C14" s="399">
        <v>287</v>
      </c>
      <c r="D14" s="399">
        <v>48</v>
      </c>
    </row>
    <row r="15" spans="1:8" x14ac:dyDescent="0.2">
      <c r="A15" s="17"/>
      <c r="B15" s="400">
        <v>38504</v>
      </c>
      <c r="C15" s="401">
        <v>896</v>
      </c>
      <c r="D15" s="401">
        <v>25</v>
      </c>
      <c r="F15" s="38" t="s">
        <v>255</v>
      </c>
    </row>
    <row r="16" spans="1:8" x14ac:dyDescent="0.2">
      <c r="A16" s="17"/>
      <c r="B16" s="397">
        <v>38534</v>
      </c>
      <c r="C16" s="399">
        <v>965</v>
      </c>
      <c r="D16" s="399">
        <v>89</v>
      </c>
      <c r="F16" s="698" t="s">
        <v>257</v>
      </c>
      <c r="G16" s="698"/>
      <c r="H16" s="698"/>
    </row>
    <row r="17" spans="1:8" x14ac:dyDescent="0.2">
      <c r="A17" s="17"/>
      <c r="B17" s="400">
        <v>38565</v>
      </c>
      <c r="C17" s="401">
        <v>735</v>
      </c>
      <c r="D17" s="401">
        <v>198</v>
      </c>
      <c r="F17" s="698"/>
      <c r="G17" s="698"/>
      <c r="H17" s="698"/>
    </row>
    <row r="18" spans="1:8" ht="13.5" thickBot="1" x14ac:dyDescent="0.25">
      <c r="A18" s="17"/>
      <c r="B18" s="397">
        <v>38596</v>
      </c>
      <c r="C18" s="399">
        <v>1398</v>
      </c>
      <c r="D18" s="399">
        <v>376</v>
      </c>
      <c r="F18" s="460"/>
      <c r="G18" s="463"/>
      <c r="H18" s="463"/>
    </row>
    <row r="19" spans="1:8" ht="13.5" thickBot="1" x14ac:dyDescent="0.25">
      <c r="A19" s="17"/>
      <c r="B19" s="400">
        <v>38626</v>
      </c>
      <c r="C19" s="401">
        <v>653</v>
      </c>
      <c r="D19" s="401">
        <v>234</v>
      </c>
      <c r="F19" s="75"/>
      <c r="G19" s="275" t="s">
        <v>260</v>
      </c>
      <c r="H19" s="276" t="s">
        <v>200</v>
      </c>
    </row>
    <row r="20" spans="1:8" ht="13.5" thickBot="1" x14ac:dyDescent="0.25">
      <c r="A20" s="17"/>
      <c r="B20" s="397">
        <v>38657</v>
      </c>
      <c r="C20" s="399">
        <v>498</v>
      </c>
      <c r="D20" s="399">
        <v>76</v>
      </c>
      <c r="E20" s="24"/>
      <c r="F20" s="114" t="s">
        <v>251</v>
      </c>
      <c r="G20" s="472">
        <f>_xlfn.CONFIDENCE.NORM(G12,G11,G13)</f>
        <v>2803.5727747694032</v>
      </c>
      <c r="H20" s="473">
        <f>_xlfn.CONFIDENCE.NORM(H12,H11,H13)</f>
        <v>199.15606766225321</v>
      </c>
    </row>
    <row r="21" spans="1:8" ht="13.5" thickBot="1" x14ac:dyDescent="0.25">
      <c r="A21" s="17"/>
      <c r="B21" s="402">
        <v>38687</v>
      </c>
      <c r="C21" s="403">
        <v>1673</v>
      </c>
      <c r="D21" s="403">
        <v>456</v>
      </c>
      <c r="G21" s="129" t="s">
        <v>588</v>
      </c>
      <c r="H21" s="464" t="s">
        <v>589</v>
      </c>
    </row>
    <row r="22" spans="1:8" ht="13.5" thickBot="1" x14ac:dyDescent="0.25">
      <c r="A22" s="17"/>
      <c r="B22" s="459">
        <v>38718</v>
      </c>
      <c r="C22" s="398">
        <v>236</v>
      </c>
      <c r="D22" s="410">
        <v>6</v>
      </c>
      <c r="G22" s="466"/>
      <c r="H22" s="22"/>
    </row>
    <row r="23" spans="1:8" x14ac:dyDescent="0.2">
      <c r="A23" s="17"/>
      <c r="B23" s="418">
        <v>38749</v>
      </c>
      <c r="C23" s="401">
        <v>1221</v>
      </c>
      <c r="D23" s="411">
        <v>17</v>
      </c>
      <c r="F23" s="465"/>
      <c r="G23" s="468" t="s">
        <v>262</v>
      </c>
      <c r="H23" s="469" t="s">
        <v>263</v>
      </c>
    </row>
    <row r="24" spans="1:8" ht="13.5" thickBot="1" x14ac:dyDescent="0.25">
      <c r="A24" s="17"/>
      <c r="B24" s="459">
        <v>38777</v>
      </c>
      <c r="C24" s="399">
        <v>1563</v>
      </c>
      <c r="D24" s="410">
        <v>456</v>
      </c>
      <c r="F24" s="17"/>
      <c r="G24" s="470" t="s">
        <v>264</v>
      </c>
      <c r="H24" s="471" t="s">
        <v>265</v>
      </c>
    </row>
    <row r="25" spans="1:8" ht="13.5" thickBot="1" x14ac:dyDescent="0.25">
      <c r="A25" s="17"/>
      <c r="B25" s="418">
        <v>38808</v>
      </c>
      <c r="C25" s="401">
        <v>2682</v>
      </c>
      <c r="D25" s="411">
        <v>544</v>
      </c>
      <c r="E25" s="24"/>
      <c r="F25" s="467" t="s">
        <v>261</v>
      </c>
      <c r="G25" s="472">
        <f>G10-G20</f>
        <v>8504.5435043003636</v>
      </c>
      <c r="H25" s="473">
        <f>G10+G20</f>
        <v>14111.689053839171</v>
      </c>
    </row>
    <row r="26" spans="1:8" x14ac:dyDescent="0.2">
      <c r="A26" s="17"/>
      <c r="B26" s="459">
        <v>38838</v>
      </c>
      <c r="C26" s="399">
        <v>4569</v>
      </c>
      <c r="D26" s="410">
        <v>349</v>
      </c>
      <c r="G26" s="477" t="s">
        <v>378</v>
      </c>
      <c r="H26" s="478" t="s">
        <v>379</v>
      </c>
    </row>
    <row r="27" spans="1:8" x14ac:dyDescent="0.2">
      <c r="A27" s="17"/>
      <c r="B27" s="418">
        <v>38869</v>
      </c>
      <c r="C27" s="401">
        <v>6848</v>
      </c>
      <c r="D27" s="411">
        <v>854</v>
      </c>
    </row>
    <row r="28" spans="1:8" ht="13.5" thickBot="1" x14ac:dyDescent="0.25">
      <c r="A28" s="17"/>
      <c r="B28" s="459">
        <v>38899</v>
      </c>
      <c r="C28" s="399">
        <v>8463</v>
      </c>
      <c r="D28" s="410">
        <v>427</v>
      </c>
      <c r="H28" s="22"/>
    </row>
    <row r="29" spans="1:8" x14ac:dyDescent="0.2">
      <c r="A29" s="17"/>
      <c r="B29" s="418">
        <v>38930</v>
      </c>
      <c r="C29" s="401">
        <v>10157</v>
      </c>
      <c r="D29" s="411">
        <v>337</v>
      </c>
      <c r="F29" s="465"/>
      <c r="G29" s="468" t="s">
        <v>262</v>
      </c>
      <c r="H29" s="469" t="s">
        <v>263</v>
      </c>
    </row>
    <row r="30" spans="1:8" ht="13.5" thickBot="1" x14ac:dyDescent="0.25">
      <c r="A30" s="17"/>
      <c r="B30" s="459">
        <v>38961</v>
      </c>
      <c r="C30" s="399">
        <v>11837</v>
      </c>
      <c r="D30" s="410">
        <v>899</v>
      </c>
      <c r="F30" s="17"/>
      <c r="G30" s="470" t="s">
        <v>264</v>
      </c>
      <c r="H30" s="471" t="s">
        <v>265</v>
      </c>
    </row>
    <row r="31" spans="1:8" ht="13.5" thickBot="1" x14ac:dyDescent="0.25">
      <c r="A31" s="17"/>
      <c r="B31" s="418">
        <v>38991</v>
      </c>
      <c r="C31" s="401">
        <v>12987</v>
      </c>
      <c r="D31" s="411">
        <v>1011</v>
      </c>
      <c r="F31" s="467" t="s">
        <v>266</v>
      </c>
      <c r="G31" s="472">
        <f>H10-H20</f>
        <v>670.34393233774676</v>
      </c>
      <c r="H31" s="473">
        <f>H10+H20</f>
        <v>1068.6560676622532</v>
      </c>
    </row>
    <row r="32" spans="1:8" x14ac:dyDescent="0.2">
      <c r="A32" s="17"/>
      <c r="B32" s="459">
        <v>39022</v>
      </c>
      <c r="C32" s="399">
        <v>13739</v>
      </c>
      <c r="D32" s="410">
        <v>720</v>
      </c>
      <c r="G32" s="477" t="s">
        <v>380</v>
      </c>
      <c r="H32" s="478" t="s">
        <v>381</v>
      </c>
    </row>
    <row r="33" spans="1:7" ht="13.5" thickBot="1" x14ac:dyDescent="0.25">
      <c r="A33" s="17"/>
      <c r="B33" s="402">
        <v>39052</v>
      </c>
      <c r="C33" s="403">
        <v>14376</v>
      </c>
      <c r="D33" s="403">
        <v>1069</v>
      </c>
    </row>
    <row r="34" spans="1:7" x14ac:dyDescent="0.2">
      <c r="A34" s="17"/>
      <c r="B34" s="397">
        <v>39083</v>
      </c>
      <c r="C34" s="398">
        <v>15739</v>
      </c>
      <c r="D34" s="399">
        <v>1070</v>
      </c>
      <c r="F34" s="38" t="s">
        <v>4</v>
      </c>
    </row>
    <row r="35" spans="1:7" x14ac:dyDescent="0.2">
      <c r="A35" s="17"/>
      <c r="B35" s="400">
        <v>39114</v>
      </c>
      <c r="C35" s="401">
        <v>16123</v>
      </c>
      <c r="D35" s="401">
        <v>967</v>
      </c>
      <c r="F35" s="38" t="s">
        <v>267</v>
      </c>
      <c r="G35" t="s">
        <v>258</v>
      </c>
    </row>
    <row r="36" spans="1:7" x14ac:dyDescent="0.2">
      <c r="A36" s="17"/>
      <c r="B36" s="397">
        <v>39142</v>
      </c>
      <c r="C36" s="399">
        <v>16548</v>
      </c>
      <c r="D36" s="399">
        <v>1401</v>
      </c>
      <c r="G36" t="s">
        <v>268</v>
      </c>
    </row>
    <row r="37" spans="1:7" x14ac:dyDescent="0.2">
      <c r="A37" s="17"/>
      <c r="B37" s="400">
        <v>39173</v>
      </c>
      <c r="C37" s="401">
        <v>17352</v>
      </c>
      <c r="D37" s="401">
        <v>1076</v>
      </c>
    </row>
    <row r="38" spans="1:7" x14ac:dyDescent="0.2">
      <c r="A38" s="17"/>
      <c r="B38" s="397">
        <v>39203</v>
      </c>
      <c r="C38" s="399">
        <v>17986</v>
      </c>
      <c r="D38" s="399">
        <v>1563</v>
      </c>
      <c r="F38" s="38" t="s">
        <v>269</v>
      </c>
      <c r="G38" t="s">
        <v>270</v>
      </c>
    </row>
    <row r="39" spans="1:7" x14ac:dyDescent="0.2">
      <c r="A39" s="17"/>
      <c r="B39" s="400">
        <v>39234</v>
      </c>
      <c r="C39" s="401">
        <v>18234</v>
      </c>
      <c r="D39" s="401">
        <v>1485</v>
      </c>
      <c r="G39" t="s">
        <v>271</v>
      </c>
    </row>
    <row r="40" spans="1:7" x14ac:dyDescent="0.2">
      <c r="A40" s="17"/>
      <c r="B40" s="397">
        <v>39264</v>
      </c>
      <c r="C40" s="399">
        <v>18769</v>
      </c>
      <c r="D40" s="399">
        <v>1367</v>
      </c>
    </row>
    <row r="41" spans="1:7" x14ac:dyDescent="0.2">
      <c r="A41" s="17"/>
      <c r="B41" s="400">
        <v>39295</v>
      </c>
      <c r="C41" s="401">
        <v>19736</v>
      </c>
      <c r="D41" s="401">
        <v>1138</v>
      </c>
    </row>
    <row r="42" spans="1:7" x14ac:dyDescent="0.2">
      <c r="A42" s="17"/>
      <c r="B42" s="397">
        <v>39326</v>
      </c>
      <c r="C42" s="399">
        <v>20333</v>
      </c>
      <c r="D42" s="399">
        <v>1352</v>
      </c>
    </row>
    <row r="43" spans="1:7" x14ac:dyDescent="0.2">
      <c r="A43" s="17"/>
      <c r="B43" s="400">
        <v>39356</v>
      </c>
      <c r="C43" s="401">
        <v>20987</v>
      </c>
      <c r="D43" s="401">
        <v>1343</v>
      </c>
    </row>
    <row r="44" spans="1:7" x14ac:dyDescent="0.2">
      <c r="A44" s="17"/>
      <c r="B44" s="397">
        <v>39387</v>
      </c>
      <c r="C44" s="399">
        <v>21323</v>
      </c>
      <c r="D44" s="399">
        <v>1430</v>
      </c>
    </row>
    <row r="45" spans="1:7" ht="13.5" thickBot="1" x14ac:dyDescent="0.25">
      <c r="A45" s="17"/>
      <c r="B45" s="402">
        <v>39417</v>
      </c>
      <c r="C45" s="403">
        <v>21999</v>
      </c>
      <c r="D45" s="403">
        <v>1375</v>
      </c>
    </row>
    <row r="46" spans="1:7" x14ac:dyDescent="0.2">
      <c r="A46" s="17"/>
      <c r="B46" s="397">
        <v>39448</v>
      </c>
      <c r="C46" s="398">
        <v>22786</v>
      </c>
      <c r="D46" s="399">
        <v>1421</v>
      </c>
    </row>
    <row r="47" spans="1:7" x14ac:dyDescent="0.2">
      <c r="A47" s="17"/>
      <c r="B47" s="400">
        <v>39479</v>
      </c>
      <c r="C47" s="401">
        <v>23784</v>
      </c>
      <c r="D47" s="401">
        <v>1508</v>
      </c>
    </row>
    <row r="48" spans="1:7" x14ac:dyDescent="0.2">
      <c r="A48" s="17"/>
      <c r="B48" s="397">
        <v>39508</v>
      </c>
      <c r="C48" s="399">
        <v>24574</v>
      </c>
      <c r="D48" s="399">
        <v>1876</v>
      </c>
    </row>
    <row r="49" spans="1:9" x14ac:dyDescent="0.2">
      <c r="A49" s="17"/>
      <c r="B49" s="400">
        <v>39539</v>
      </c>
      <c r="C49" s="401">
        <v>25111</v>
      </c>
      <c r="D49" s="401">
        <v>1948</v>
      </c>
    </row>
    <row r="50" spans="1:9" x14ac:dyDescent="0.2">
      <c r="A50" s="17"/>
      <c r="B50" s="397">
        <v>39569</v>
      </c>
      <c r="C50" s="399">
        <v>25789</v>
      </c>
      <c r="D50" s="399">
        <v>2094</v>
      </c>
      <c r="F50" s="16"/>
      <c r="G50" s="144"/>
      <c r="H50" s="144"/>
      <c r="I50" s="144"/>
    </row>
    <row r="51" spans="1:9" x14ac:dyDescent="0.2">
      <c r="A51" s="17"/>
      <c r="B51" s="400">
        <v>39600</v>
      </c>
      <c r="C51" s="401">
        <v>26948</v>
      </c>
      <c r="D51" s="401">
        <v>2134</v>
      </c>
    </row>
    <row r="52" spans="1:9" ht="13.5" thickBot="1" x14ac:dyDescent="0.25">
      <c r="A52" s="17"/>
      <c r="B52" s="479">
        <v>39630</v>
      </c>
      <c r="C52" s="480">
        <v>15635</v>
      </c>
      <c r="D52" s="480">
        <v>1673</v>
      </c>
    </row>
    <row r="54" spans="1:9" x14ac:dyDescent="0.2">
      <c r="F54" s="404"/>
    </row>
    <row r="61" spans="1:9" x14ac:dyDescent="0.2">
      <c r="C61" s="144"/>
      <c r="D61" s="144"/>
    </row>
  </sheetData>
  <mergeCells count="3">
    <mergeCell ref="F16:H17"/>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topLeftCell="B1" workbookViewId="0">
      <selection activeCell="G21" sqref="G21"/>
    </sheetView>
  </sheetViews>
  <sheetFormatPr baseColWidth="10" defaultRowHeight="12.75" x14ac:dyDescent="0.2"/>
  <cols>
    <col min="1" max="1" width="4.7109375" customWidth="1"/>
    <col min="2" max="2" width="20.85546875" customWidth="1"/>
    <col min="3" max="3" width="15.7109375" customWidth="1"/>
    <col min="4" max="4" width="16.7109375" customWidth="1"/>
    <col min="5" max="5" width="15.5703125" customWidth="1"/>
    <col min="6" max="6" width="27.28515625" customWidth="1"/>
    <col min="7" max="7" width="25.85546875" customWidth="1"/>
    <col min="8" max="8" width="25" customWidth="1"/>
  </cols>
  <sheetData>
    <row r="1" spans="2:8" ht="18" customHeight="1" x14ac:dyDescent="0.2">
      <c r="B1" s="62" t="s">
        <v>8</v>
      </c>
      <c r="C1" s="439"/>
      <c r="D1" s="440" t="s">
        <v>493</v>
      </c>
      <c r="E1" s="441"/>
      <c r="F1" s="441"/>
      <c r="G1" s="441"/>
      <c r="H1" s="441"/>
    </row>
    <row r="2" spans="2:8" ht="18" customHeight="1" x14ac:dyDescent="0.2">
      <c r="B2" s="62" t="s">
        <v>16</v>
      </c>
      <c r="C2" s="439"/>
      <c r="D2" s="440" t="s">
        <v>492</v>
      </c>
      <c r="E2" s="441"/>
      <c r="F2" s="441"/>
      <c r="G2" s="441"/>
      <c r="H2" s="441"/>
    </row>
    <row r="3" spans="2:8" ht="18" customHeight="1" x14ac:dyDescent="0.2">
      <c r="B3" s="62" t="s">
        <v>17</v>
      </c>
      <c r="C3" s="439"/>
      <c r="D3" s="62" t="s">
        <v>18</v>
      </c>
      <c r="E3" s="441"/>
      <c r="F3" s="441"/>
      <c r="G3" s="441"/>
      <c r="H3" s="441"/>
    </row>
    <row r="4" spans="2:8" ht="18" customHeight="1" x14ac:dyDescent="0.2">
      <c r="B4" s="62" t="s">
        <v>19</v>
      </c>
      <c r="C4" s="439"/>
      <c r="D4" s="650" t="s">
        <v>494</v>
      </c>
      <c r="E4" s="651"/>
      <c r="F4" s="651"/>
      <c r="G4" s="651"/>
      <c r="H4" s="651"/>
    </row>
    <row r="5" spans="2:8" ht="54.75" customHeight="1" x14ac:dyDescent="0.2">
      <c r="B5" s="13" t="s">
        <v>20</v>
      </c>
      <c r="C5" s="611" t="s">
        <v>252</v>
      </c>
      <c r="D5" s="600"/>
      <c r="E5" s="600"/>
      <c r="F5" s="600"/>
      <c r="G5" s="600"/>
      <c r="H5" s="600"/>
    </row>
    <row r="8" spans="2:8" ht="15" x14ac:dyDescent="0.25">
      <c r="B8" s="592" t="s">
        <v>585</v>
      </c>
      <c r="F8" s="404"/>
    </row>
    <row r="15" spans="2:8" x14ac:dyDescent="0.2">
      <c r="C15" s="144"/>
      <c r="D15" s="144"/>
    </row>
  </sheetData>
  <mergeCells count="2">
    <mergeCell ref="D4:H4"/>
    <mergeCell ref="C5:H5"/>
  </mergeCells>
  <pageMargins left="0.78740157499999996" right="0.78740157499999996" top="0.984251969" bottom="0.984251969" header="0.4921259845" footer="0.4921259845"/>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topLeftCell="B1" workbookViewId="0">
      <selection activeCell="C6" sqref="C6:H6"/>
    </sheetView>
  </sheetViews>
  <sheetFormatPr baseColWidth="10" defaultRowHeight="12.75" x14ac:dyDescent="0.2"/>
  <cols>
    <col min="1" max="1" width="3.28515625" customWidth="1"/>
    <col min="2" max="2" width="22" customWidth="1"/>
    <col min="3" max="3" width="14.5703125" customWidth="1"/>
    <col min="4" max="4" width="13.7109375" customWidth="1"/>
    <col min="5" max="5" width="16.42578125" customWidth="1"/>
    <col min="6" max="6" width="16.28515625" customWidth="1"/>
    <col min="7" max="7" width="14.85546875" customWidth="1"/>
    <col min="8" max="8" width="20" customWidth="1"/>
  </cols>
  <sheetData>
    <row r="1" spans="1:8" ht="18" customHeight="1" x14ac:dyDescent="0.2">
      <c r="B1" s="62" t="s">
        <v>8</v>
      </c>
      <c r="C1" s="439"/>
      <c r="D1" s="440" t="s">
        <v>500</v>
      </c>
      <c r="E1" s="441"/>
      <c r="F1" s="441"/>
      <c r="G1" s="441"/>
      <c r="H1" s="441"/>
    </row>
    <row r="2" spans="1:8" ht="18" customHeight="1" x14ac:dyDescent="0.2">
      <c r="B2" s="62" t="s">
        <v>16</v>
      </c>
      <c r="C2" s="439"/>
      <c r="D2" s="440" t="s">
        <v>500</v>
      </c>
      <c r="E2" s="441"/>
      <c r="F2" s="441"/>
      <c r="G2" s="441"/>
      <c r="H2" s="441"/>
    </row>
    <row r="3" spans="1:8" ht="18" customHeight="1" x14ac:dyDescent="0.2">
      <c r="B3" s="62" t="s">
        <v>17</v>
      </c>
      <c r="C3" s="439"/>
      <c r="D3" s="62" t="s">
        <v>18</v>
      </c>
      <c r="E3" s="441"/>
      <c r="F3" s="441"/>
      <c r="G3" s="441"/>
      <c r="H3" s="441"/>
    </row>
    <row r="4" spans="1:8" ht="18" customHeight="1" x14ac:dyDescent="0.2">
      <c r="B4" s="62" t="s">
        <v>19</v>
      </c>
      <c r="C4" s="439"/>
      <c r="D4" s="650" t="s">
        <v>501</v>
      </c>
      <c r="E4" s="651"/>
      <c r="F4" s="651"/>
      <c r="G4" s="651"/>
      <c r="H4" s="651"/>
    </row>
    <row r="5" spans="1:8" ht="47.25" customHeight="1" x14ac:dyDescent="0.2">
      <c r="B5" s="13" t="s">
        <v>1</v>
      </c>
      <c r="C5" s="439"/>
      <c r="D5" s="442"/>
      <c r="E5" s="441"/>
      <c r="F5" s="441"/>
      <c r="G5" s="441"/>
      <c r="H5" s="441"/>
    </row>
    <row r="6" spans="1:8" ht="41.25" customHeight="1" x14ac:dyDescent="0.2">
      <c r="B6" s="13" t="s">
        <v>20</v>
      </c>
      <c r="C6" s="611" t="s">
        <v>274</v>
      </c>
      <c r="D6" s="600"/>
      <c r="E6" s="600"/>
      <c r="F6" s="600"/>
      <c r="G6" s="600"/>
      <c r="H6" s="600"/>
    </row>
    <row r="8" spans="1:8" ht="15.75" thickBot="1" x14ac:dyDescent="0.25">
      <c r="B8" s="545" t="s">
        <v>503</v>
      </c>
      <c r="C8" s="546"/>
      <c r="D8" s="541"/>
      <c r="E8" s="542"/>
      <c r="F8" s="542"/>
    </row>
    <row r="9" spans="1:8" ht="13.5" thickBot="1" x14ac:dyDescent="0.25">
      <c r="A9" s="17"/>
      <c r="B9" s="522" t="s">
        <v>344</v>
      </c>
      <c r="C9" s="522"/>
      <c r="D9" s="552"/>
      <c r="E9" s="613" t="s">
        <v>343</v>
      </c>
      <c r="F9" s="614"/>
    </row>
    <row r="10" spans="1:8" x14ac:dyDescent="0.2">
      <c r="A10" s="17"/>
      <c r="B10" s="5" t="s">
        <v>361</v>
      </c>
      <c r="C10" s="539"/>
      <c r="D10" s="543"/>
      <c r="E10" s="615">
        <v>3.9084000000000001E-2</v>
      </c>
      <c r="F10" s="607"/>
    </row>
    <row r="11" spans="1:8" x14ac:dyDescent="0.2">
      <c r="A11" s="17"/>
      <c r="B11" s="547" t="s">
        <v>362</v>
      </c>
      <c r="C11" s="548"/>
      <c r="D11" s="161"/>
      <c r="E11" s="616">
        <v>3.5</v>
      </c>
      <c r="F11" s="607"/>
    </row>
    <row r="12" spans="1:8" ht="13.5" thickBot="1" x14ac:dyDescent="0.25">
      <c r="A12" s="17"/>
      <c r="B12" s="5" t="s">
        <v>363</v>
      </c>
      <c r="C12" s="539"/>
      <c r="D12" s="543"/>
      <c r="E12" s="615">
        <v>1.2</v>
      </c>
      <c r="F12" s="607"/>
    </row>
    <row r="13" spans="1:8" ht="15.75" thickBot="1" x14ac:dyDescent="0.3">
      <c r="A13" s="17"/>
      <c r="B13" s="550" t="s">
        <v>500</v>
      </c>
      <c r="C13" s="550"/>
      <c r="D13" s="551"/>
      <c r="E13" s="699">
        <f>_xlfn.LOGNORM.INV(E10,E11,E12)</f>
        <v>4.000025218680638</v>
      </c>
      <c r="F13" s="700"/>
    </row>
    <row r="14" spans="1:8" ht="15" x14ac:dyDescent="0.2">
      <c r="B14" s="538"/>
      <c r="C14" s="5"/>
      <c r="D14" s="539"/>
      <c r="E14" s="587" t="s">
        <v>502</v>
      </c>
      <c r="F14" s="189"/>
    </row>
  </sheetData>
  <mergeCells count="7">
    <mergeCell ref="E13:F13"/>
    <mergeCell ref="E11:F11"/>
    <mergeCell ref="E12:F12"/>
    <mergeCell ref="D4:H4"/>
    <mergeCell ref="C6:H6"/>
    <mergeCell ref="E9:F9"/>
    <mergeCell ref="E10:F10"/>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4578" r:id="rId4">
          <objectPr defaultSize="0" autoPict="0" r:id="rId5">
            <anchor moveWithCells="1" sizeWithCells="1">
              <from>
                <xdr:col>3</xdr:col>
                <xdr:colOff>0</xdr:colOff>
                <xdr:row>4</xdr:row>
                <xdr:rowOff>66675</xdr:rowOff>
              </from>
              <to>
                <xdr:col>7</xdr:col>
                <xdr:colOff>1266825</xdr:colOff>
                <xdr:row>4</xdr:row>
                <xdr:rowOff>542925</xdr:rowOff>
              </to>
            </anchor>
          </objectPr>
        </oleObject>
      </mc:Choice>
      <mc:Fallback>
        <oleObject progId="Equation.3" shapeId="24578"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5"/>
  <sheetViews>
    <sheetView topLeftCell="B1" workbookViewId="0">
      <selection activeCell="I20" sqref="I20"/>
    </sheetView>
  </sheetViews>
  <sheetFormatPr baseColWidth="10" defaultRowHeight="12.75" x14ac:dyDescent="0.2"/>
  <cols>
    <col min="1" max="1" width="3.7109375" customWidth="1"/>
    <col min="2" max="2" width="23.140625" customWidth="1"/>
    <col min="3" max="3" width="13.42578125" customWidth="1"/>
    <col min="4" max="4" width="15.5703125" customWidth="1"/>
    <col min="5" max="5" width="14.85546875" customWidth="1"/>
    <col min="6" max="6" width="18.7109375" customWidth="1"/>
    <col min="7" max="8" width="14.28515625" customWidth="1"/>
  </cols>
  <sheetData>
    <row r="1" spans="1:8" ht="18" customHeight="1" x14ac:dyDescent="0.2">
      <c r="B1" s="62" t="s">
        <v>8</v>
      </c>
      <c r="C1" s="439"/>
      <c r="D1" s="440" t="s">
        <v>504</v>
      </c>
      <c r="E1" s="441"/>
      <c r="F1" s="441"/>
      <c r="G1" s="441"/>
      <c r="H1" s="441"/>
    </row>
    <row r="2" spans="1:8" ht="18" customHeight="1" x14ac:dyDescent="0.2">
      <c r="B2" s="62" t="s">
        <v>16</v>
      </c>
      <c r="C2" s="439"/>
      <c r="D2" s="440" t="s">
        <v>505</v>
      </c>
      <c r="E2" s="441"/>
      <c r="F2" s="441"/>
      <c r="G2" s="441"/>
      <c r="H2" s="441"/>
    </row>
    <row r="3" spans="1:8" ht="18" customHeight="1" x14ac:dyDescent="0.2">
      <c r="B3" s="62" t="s">
        <v>17</v>
      </c>
      <c r="C3" s="439"/>
      <c r="D3" s="62" t="s">
        <v>18</v>
      </c>
      <c r="E3" s="441"/>
      <c r="F3" s="441"/>
      <c r="G3" s="441"/>
      <c r="H3" s="441"/>
    </row>
    <row r="4" spans="1:8" ht="18" customHeight="1" x14ac:dyDescent="0.2">
      <c r="B4" s="62" t="s">
        <v>19</v>
      </c>
      <c r="C4" s="439"/>
      <c r="D4" s="650" t="s">
        <v>506</v>
      </c>
      <c r="E4" s="651"/>
      <c r="F4" s="651"/>
      <c r="G4" s="651"/>
      <c r="H4" s="651"/>
    </row>
    <row r="5" spans="1:8" ht="42.75" customHeight="1" x14ac:dyDescent="0.2">
      <c r="B5" s="13" t="s">
        <v>1</v>
      </c>
      <c r="C5" s="439"/>
      <c r="D5" s="442"/>
      <c r="E5" s="441"/>
      <c r="F5" s="441"/>
      <c r="G5" s="441"/>
      <c r="H5" s="441"/>
    </row>
    <row r="6" spans="1:8" ht="52.5" customHeight="1" x14ac:dyDescent="0.2">
      <c r="B6" s="13" t="s">
        <v>20</v>
      </c>
      <c r="C6" s="611" t="s">
        <v>600</v>
      </c>
      <c r="D6" s="600"/>
      <c r="E6" s="600"/>
      <c r="F6" s="600"/>
      <c r="G6" s="600"/>
      <c r="H6" s="600"/>
    </row>
    <row r="8" spans="1:8" ht="15.75" thickBot="1" x14ac:dyDescent="0.25">
      <c r="B8" s="545" t="s">
        <v>507</v>
      </c>
      <c r="C8" s="546"/>
      <c r="D8" s="541"/>
      <c r="E8" s="542"/>
      <c r="F8" s="542"/>
    </row>
    <row r="9" spans="1:8" ht="13.5" thickBot="1" x14ac:dyDescent="0.25">
      <c r="A9" s="17"/>
      <c r="B9" s="522" t="s">
        <v>344</v>
      </c>
      <c r="C9" s="522"/>
      <c r="D9" s="552"/>
      <c r="E9" s="620" t="s">
        <v>343</v>
      </c>
      <c r="F9" s="607"/>
    </row>
    <row r="10" spans="1:8" x14ac:dyDescent="0.2">
      <c r="A10" s="17"/>
      <c r="B10" s="5" t="s">
        <v>347</v>
      </c>
      <c r="C10" s="539"/>
      <c r="D10" s="543"/>
      <c r="E10" s="615">
        <v>4</v>
      </c>
      <c r="F10" s="607"/>
    </row>
    <row r="11" spans="1:8" x14ac:dyDescent="0.2">
      <c r="A11" s="17"/>
      <c r="B11" s="547" t="s">
        <v>362</v>
      </c>
      <c r="C11" s="548"/>
      <c r="D11" s="161"/>
      <c r="E11" s="616">
        <v>3.5</v>
      </c>
      <c r="F11" s="607"/>
    </row>
    <row r="12" spans="1:8" x14ac:dyDescent="0.2">
      <c r="A12" s="17"/>
      <c r="B12" s="5" t="s">
        <v>363</v>
      </c>
      <c r="C12" s="539"/>
      <c r="D12" s="543"/>
      <c r="E12" s="615">
        <v>1.2</v>
      </c>
      <c r="F12" s="607"/>
    </row>
    <row r="13" spans="1:8" ht="13.5" thickBot="1" x14ac:dyDescent="0.25">
      <c r="A13" s="17"/>
      <c r="B13" s="716" t="s">
        <v>246</v>
      </c>
      <c r="C13" s="548"/>
      <c r="D13" s="161"/>
      <c r="E13" s="616" t="b">
        <v>1</v>
      </c>
      <c r="F13" s="607"/>
    </row>
    <row r="14" spans="1:8" ht="15.75" thickBot="1" x14ac:dyDescent="0.3">
      <c r="A14" s="17"/>
      <c r="B14" s="549" t="s">
        <v>504</v>
      </c>
      <c r="C14" s="550"/>
      <c r="D14" s="563"/>
      <c r="E14" s="621">
        <f>_xlfn.LOGNORM.DIST(E10,E11,E12,TRUE)</f>
        <v>3.9083555706800478E-2</v>
      </c>
      <c r="F14" s="622"/>
    </row>
    <row r="15" spans="1:8" x14ac:dyDescent="0.2">
      <c r="B15" s="540"/>
      <c r="C15" s="5"/>
      <c r="D15" s="539"/>
      <c r="E15" s="717" t="s">
        <v>601</v>
      </c>
      <c r="F15" s="189"/>
    </row>
  </sheetData>
  <mergeCells count="8">
    <mergeCell ref="E14:F14"/>
    <mergeCell ref="E11:F11"/>
    <mergeCell ref="E12:F12"/>
    <mergeCell ref="D4:H4"/>
    <mergeCell ref="C6:H6"/>
    <mergeCell ref="E9:F9"/>
    <mergeCell ref="E10:F10"/>
    <mergeCell ref="E13:F13"/>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3553" r:id="rId4">
          <objectPr defaultSize="0" autoPict="0" r:id="rId5">
            <anchor moveWithCells="1">
              <from>
                <xdr:col>3</xdr:col>
                <xdr:colOff>9525</xdr:colOff>
                <xdr:row>4</xdr:row>
                <xdr:rowOff>9525</xdr:rowOff>
              </from>
              <to>
                <xdr:col>5</xdr:col>
                <xdr:colOff>933450</xdr:colOff>
                <xdr:row>4</xdr:row>
                <xdr:rowOff>485775</xdr:rowOff>
              </to>
            </anchor>
          </objectPr>
        </oleObject>
      </mc:Choice>
      <mc:Fallback>
        <oleObject progId="Equation.3" shapeId="23553" r:id="rId4"/>
      </mc:Fallback>
    </mc:AlternateContent>
  </oleObjec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topLeftCell="B1" workbookViewId="0">
      <selection activeCell="M35" sqref="M35"/>
    </sheetView>
  </sheetViews>
  <sheetFormatPr baseColWidth="10" defaultRowHeight="12.75" x14ac:dyDescent="0.2"/>
  <cols>
    <col min="1" max="1" width="4.7109375" customWidth="1"/>
    <col min="2" max="2" width="27" customWidth="1"/>
    <col min="4" max="4" width="12.7109375" customWidth="1"/>
    <col min="5" max="5" width="13.7109375" customWidth="1"/>
    <col min="6" max="6" width="13.42578125" customWidth="1"/>
    <col min="7" max="7" width="12.85546875" customWidth="1"/>
    <col min="8" max="8" width="12.42578125" customWidth="1"/>
    <col min="9" max="9" width="13.28515625" customWidth="1"/>
  </cols>
  <sheetData>
    <row r="1" spans="2:10" ht="15.75" x14ac:dyDescent="0.25">
      <c r="B1" s="10" t="s">
        <v>8</v>
      </c>
      <c r="C1" s="11"/>
      <c r="D1" s="290" t="s">
        <v>508</v>
      </c>
      <c r="E1" s="289"/>
      <c r="F1" s="289"/>
      <c r="G1" s="289"/>
      <c r="H1" s="289"/>
      <c r="I1" s="289"/>
    </row>
    <row r="2" spans="2:10" ht="15.75" x14ac:dyDescent="0.25">
      <c r="B2" s="10" t="s">
        <v>16</v>
      </c>
      <c r="C2" s="11"/>
      <c r="D2" s="290" t="s">
        <v>509</v>
      </c>
      <c r="E2" s="289"/>
      <c r="F2" s="289"/>
      <c r="G2" s="289"/>
      <c r="H2" s="289"/>
      <c r="I2" s="289"/>
    </row>
    <row r="3" spans="2:10" ht="15" x14ac:dyDescent="0.2">
      <c r="B3" s="10" t="s">
        <v>17</v>
      </c>
      <c r="C3" s="11"/>
      <c r="D3" s="291" t="s">
        <v>18</v>
      </c>
      <c r="E3" s="289"/>
      <c r="F3" s="289"/>
      <c r="G3" s="289"/>
      <c r="H3" s="289"/>
      <c r="I3" s="289"/>
    </row>
    <row r="4" spans="2:10" ht="15" x14ac:dyDescent="0.2">
      <c r="B4" s="10" t="s">
        <v>19</v>
      </c>
      <c r="C4" s="11"/>
      <c r="D4" s="612" t="s">
        <v>510</v>
      </c>
      <c r="E4" s="600"/>
      <c r="F4" s="600"/>
      <c r="G4" s="600"/>
      <c r="H4" s="600"/>
      <c r="I4" s="600"/>
    </row>
    <row r="5" spans="2:10" ht="39.75" customHeight="1" x14ac:dyDescent="0.2">
      <c r="B5" s="13" t="s">
        <v>20</v>
      </c>
      <c r="C5" s="611" t="s">
        <v>148</v>
      </c>
      <c r="D5" s="600"/>
      <c r="E5" s="600"/>
      <c r="F5" s="600"/>
      <c r="G5" s="600"/>
      <c r="H5" s="600"/>
      <c r="I5" s="600"/>
      <c r="J5" s="144"/>
    </row>
    <row r="8" spans="2:10" ht="30" customHeight="1" x14ac:dyDescent="0.2">
      <c r="B8" s="703" t="s">
        <v>382</v>
      </c>
      <c r="C8" s="704"/>
      <c r="D8" s="704"/>
      <c r="E8" s="704"/>
      <c r="F8" s="651"/>
      <c r="G8" s="651"/>
      <c r="H8" s="651"/>
      <c r="I8" s="651"/>
    </row>
    <row r="9" spans="2:10" ht="13.5" thickBot="1" x14ac:dyDescent="0.25">
      <c r="B9" s="22"/>
      <c r="C9" s="22"/>
      <c r="D9" s="22"/>
      <c r="E9" s="22"/>
      <c r="F9" s="22"/>
      <c r="G9" s="22"/>
      <c r="H9" s="22"/>
      <c r="I9" s="317"/>
    </row>
    <row r="10" spans="2:10" ht="13.5" thickBot="1" x14ac:dyDescent="0.25">
      <c r="B10" s="67" t="s">
        <v>27</v>
      </c>
      <c r="C10" s="702" t="s">
        <v>150</v>
      </c>
      <c r="D10" s="600"/>
      <c r="E10" s="600"/>
      <c r="F10" s="600"/>
      <c r="G10" s="600"/>
      <c r="H10" s="600"/>
      <c r="I10" s="600"/>
      <c r="J10" s="6"/>
    </row>
    <row r="11" spans="2:10" x14ac:dyDescent="0.2">
      <c r="B11" s="333" t="s">
        <v>149</v>
      </c>
      <c r="C11" s="44">
        <v>15</v>
      </c>
      <c r="D11" s="44">
        <v>10</v>
      </c>
      <c r="E11" s="32">
        <v>8</v>
      </c>
      <c r="F11" s="339">
        <v>6</v>
      </c>
      <c r="G11" s="32">
        <v>4</v>
      </c>
      <c r="H11" s="32">
        <v>2</v>
      </c>
      <c r="I11" s="86">
        <v>0</v>
      </c>
      <c r="J11" s="39"/>
    </row>
    <row r="12" spans="2:10" x14ac:dyDescent="0.2">
      <c r="B12" s="24" t="s">
        <v>28</v>
      </c>
      <c r="C12" s="45">
        <v>5</v>
      </c>
      <c r="D12" s="45">
        <v>5</v>
      </c>
      <c r="E12" s="45">
        <v>5</v>
      </c>
      <c r="F12" s="340">
        <v>5</v>
      </c>
      <c r="G12" s="45">
        <v>5</v>
      </c>
      <c r="H12" s="45">
        <v>5</v>
      </c>
      <c r="I12" s="45">
        <v>5</v>
      </c>
      <c r="J12" s="39"/>
    </row>
    <row r="13" spans="2:10" ht="13.5" thickBot="1" x14ac:dyDescent="0.25">
      <c r="B13" s="24" t="s">
        <v>30</v>
      </c>
      <c r="C13" s="44">
        <v>0.5</v>
      </c>
      <c r="D13" s="44">
        <v>0.5</v>
      </c>
      <c r="E13" s="44">
        <v>0.5</v>
      </c>
      <c r="F13" s="341">
        <v>0.5</v>
      </c>
      <c r="G13" s="44">
        <v>0.5</v>
      </c>
      <c r="H13" s="44">
        <v>0.5</v>
      </c>
      <c r="I13" s="81">
        <v>0.5</v>
      </c>
      <c r="J13" s="39"/>
    </row>
    <row r="14" spans="2:10" ht="13.5" thickBot="1" x14ac:dyDescent="0.25">
      <c r="B14" s="101" t="s">
        <v>508</v>
      </c>
      <c r="C14" s="335">
        <f t="shared" ref="C14:I14" si="0">NEGBINOMDIST(C11,C12,C13)</f>
        <v>3.6964416503906259E-3</v>
      </c>
      <c r="D14" s="335">
        <f t="shared" si="0"/>
        <v>3.0548095703125003E-2</v>
      </c>
      <c r="E14" s="334">
        <f t="shared" si="0"/>
        <v>6.0424804687500014E-2</v>
      </c>
      <c r="F14" s="337">
        <f>NEGBINOMDIST(F11,F12,F13)</f>
        <v>0.10253906250000004</v>
      </c>
      <c r="G14" s="338">
        <f t="shared" si="0"/>
        <v>0.13671875000000006</v>
      </c>
      <c r="H14" s="334">
        <f t="shared" si="0"/>
        <v>0.11718750000000001</v>
      </c>
      <c r="I14" s="335">
        <f t="shared" si="0"/>
        <v>3.125E-2</v>
      </c>
      <c r="J14" s="336"/>
    </row>
    <row r="15" spans="2:10" x14ac:dyDescent="0.2">
      <c r="B15" s="1"/>
      <c r="C15" s="2"/>
      <c r="D15" s="4"/>
      <c r="E15" s="3"/>
      <c r="F15" s="586" t="s">
        <v>511</v>
      </c>
      <c r="I15" s="6"/>
    </row>
    <row r="16" spans="2:10" x14ac:dyDescent="0.2">
      <c r="B16" s="1"/>
      <c r="C16" s="1"/>
      <c r="D16" s="4"/>
      <c r="E16" s="3"/>
    </row>
    <row r="17" spans="2:9" x14ac:dyDescent="0.2">
      <c r="B17" s="70" t="s">
        <v>151</v>
      </c>
      <c r="C17" s="1"/>
      <c r="D17" s="1"/>
      <c r="E17" s="1"/>
    </row>
    <row r="18" spans="2:9" x14ac:dyDescent="0.2">
      <c r="B18" s="701" t="s">
        <v>383</v>
      </c>
      <c r="C18" s="624"/>
      <c r="D18" s="624"/>
      <c r="E18" s="624"/>
      <c r="F18" s="624"/>
      <c r="G18" s="624"/>
      <c r="H18" s="624"/>
      <c r="I18" s="624"/>
    </row>
    <row r="19" spans="2:9" x14ac:dyDescent="0.2">
      <c r="B19" s="624"/>
      <c r="C19" s="624"/>
      <c r="D19" s="624"/>
      <c r="E19" s="624"/>
      <c r="F19" s="624"/>
      <c r="G19" s="624"/>
      <c r="H19" s="624"/>
      <c r="I19" s="624"/>
    </row>
    <row r="20" spans="2:9" ht="5.25" customHeight="1" x14ac:dyDescent="0.2">
      <c r="B20" s="624"/>
      <c r="C20" s="624"/>
      <c r="D20" s="624"/>
      <c r="E20" s="624"/>
      <c r="F20" s="624"/>
      <c r="G20" s="624"/>
      <c r="H20" s="624"/>
      <c r="I20" s="624"/>
    </row>
  </sheetData>
  <mergeCells count="5">
    <mergeCell ref="B18:I20"/>
    <mergeCell ref="C10:I10"/>
    <mergeCell ref="D4:I4"/>
    <mergeCell ref="C5:I5"/>
    <mergeCell ref="B8:I8"/>
  </mergeCells>
  <phoneticPr fontId="5"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opLeftCell="B1" workbookViewId="0">
      <selection activeCell="M33" sqref="M33"/>
    </sheetView>
  </sheetViews>
  <sheetFormatPr baseColWidth="10" defaultRowHeight="12.75" x14ac:dyDescent="0.2"/>
  <cols>
    <col min="1" max="1" width="4.5703125" customWidth="1"/>
    <col min="2" max="2" width="26.42578125" customWidth="1"/>
  </cols>
  <sheetData>
    <row r="1" spans="1:14" ht="17.100000000000001" customHeight="1" x14ac:dyDescent="0.25">
      <c r="B1" s="10" t="s">
        <v>8</v>
      </c>
      <c r="C1" s="11"/>
      <c r="D1" s="61"/>
      <c r="E1" s="290" t="s">
        <v>496</v>
      </c>
      <c r="F1" s="289"/>
      <c r="G1" s="289"/>
      <c r="H1" s="289"/>
      <c r="I1" s="289"/>
      <c r="J1" s="289"/>
      <c r="K1" s="332"/>
      <c r="L1" s="332"/>
      <c r="M1" s="332"/>
    </row>
    <row r="2" spans="1:14" ht="17.100000000000001" customHeight="1" x14ac:dyDescent="0.25">
      <c r="B2" s="10" t="s">
        <v>16</v>
      </c>
      <c r="C2" s="11"/>
      <c r="D2" s="61"/>
      <c r="E2" s="290" t="s">
        <v>496</v>
      </c>
      <c r="F2" s="289"/>
      <c r="G2" s="289"/>
      <c r="H2" s="289"/>
      <c r="I2" s="289"/>
      <c r="J2" s="289"/>
      <c r="K2" s="332"/>
      <c r="L2" s="332"/>
      <c r="M2" s="332"/>
    </row>
    <row r="3" spans="1:14" ht="17.100000000000001" customHeight="1" x14ac:dyDescent="0.2">
      <c r="B3" s="10" t="s">
        <v>17</v>
      </c>
      <c r="C3" s="11"/>
      <c r="D3" s="61"/>
      <c r="E3" s="291" t="s">
        <v>18</v>
      </c>
      <c r="F3" s="289"/>
      <c r="G3" s="289"/>
      <c r="H3" s="289"/>
      <c r="I3" s="289"/>
      <c r="J3" s="289"/>
      <c r="K3" s="332"/>
      <c r="L3" s="332"/>
      <c r="M3" s="332"/>
    </row>
    <row r="4" spans="1:14" ht="17.100000000000001" customHeight="1" x14ac:dyDescent="0.2">
      <c r="B4" s="10" t="s">
        <v>19</v>
      </c>
      <c r="C4" s="11"/>
      <c r="D4" s="61"/>
      <c r="E4" s="612" t="s">
        <v>497</v>
      </c>
      <c r="F4" s="600"/>
      <c r="G4" s="600"/>
      <c r="H4" s="600"/>
      <c r="I4" s="600"/>
      <c r="J4" s="600"/>
      <c r="K4" s="189"/>
      <c r="L4" s="189"/>
      <c r="M4" s="189"/>
    </row>
    <row r="5" spans="1:14" ht="40.5" customHeight="1" x14ac:dyDescent="0.2">
      <c r="B5" s="13" t="s">
        <v>20</v>
      </c>
      <c r="C5" s="61"/>
      <c r="D5" s="611" t="s">
        <v>146</v>
      </c>
      <c r="E5" s="600"/>
      <c r="F5" s="600"/>
      <c r="G5" s="600"/>
      <c r="H5" s="600"/>
      <c r="I5" s="600"/>
      <c r="J5" s="600"/>
      <c r="K5" s="144"/>
      <c r="L5" s="144"/>
      <c r="M5" s="144"/>
    </row>
    <row r="7" spans="1:14" x14ac:dyDescent="0.2">
      <c r="B7" s="627" t="s">
        <v>143</v>
      </c>
      <c r="C7" s="628"/>
      <c r="D7" s="628"/>
      <c r="E7" s="628"/>
      <c r="F7" s="628"/>
      <c r="G7" s="628"/>
      <c r="H7" s="628"/>
      <c r="I7" s="628"/>
      <c r="J7" s="628"/>
    </row>
    <row r="8" spans="1:14" ht="26.25" customHeight="1" x14ac:dyDescent="0.2">
      <c r="B8" s="628"/>
      <c r="C8" s="628"/>
      <c r="D8" s="628"/>
      <c r="E8" s="628"/>
      <c r="F8" s="628"/>
      <c r="G8" s="628"/>
      <c r="H8" s="628"/>
      <c r="I8" s="628"/>
      <c r="J8" s="628"/>
    </row>
    <row r="9" spans="1:14" ht="13.5" thickBot="1" x14ac:dyDescent="0.25">
      <c r="B9" s="317"/>
      <c r="C9" s="317"/>
      <c r="D9" s="317"/>
      <c r="E9" s="317"/>
      <c r="F9" s="317"/>
      <c r="G9" s="317"/>
      <c r="H9" s="317"/>
      <c r="I9" s="317"/>
      <c r="J9" s="5"/>
      <c r="K9" s="5"/>
      <c r="L9" s="5"/>
    </row>
    <row r="10" spans="1:14" s="321" customFormat="1" ht="18" customHeight="1" thickBot="1" x14ac:dyDescent="0.25">
      <c r="A10" s="284"/>
      <c r="B10" s="629" t="s">
        <v>144</v>
      </c>
      <c r="C10" s="630"/>
      <c r="D10" s="318">
        <v>100</v>
      </c>
      <c r="E10" s="318">
        <v>100</v>
      </c>
      <c r="F10" s="318">
        <v>100</v>
      </c>
      <c r="G10" s="318">
        <v>100</v>
      </c>
      <c r="H10" s="318">
        <v>100</v>
      </c>
      <c r="I10" s="319">
        <v>100</v>
      </c>
      <c r="J10" s="320"/>
      <c r="K10" s="320"/>
      <c r="L10" s="320"/>
    </row>
    <row r="11" spans="1:14" s="321" customFormat="1" ht="18" customHeight="1" thickBot="1" x14ac:dyDescent="0.25">
      <c r="A11" s="284"/>
      <c r="B11" s="631" t="s">
        <v>145</v>
      </c>
      <c r="C11" s="632"/>
      <c r="D11" s="322">
        <v>0.5</v>
      </c>
      <c r="E11" s="323">
        <v>0.5</v>
      </c>
      <c r="F11" s="323">
        <v>0.5</v>
      </c>
      <c r="G11" s="323">
        <v>0.5</v>
      </c>
      <c r="H11" s="323">
        <v>0.5</v>
      </c>
      <c r="I11" s="324">
        <v>0.5</v>
      </c>
      <c r="J11" s="320"/>
      <c r="K11" s="320"/>
      <c r="L11" s="320"/>
    </row>
    <row r="12" spans="1:14" s="321" customFormat="1" ht="18" customHeight="1" thickBot="1" x14ac:dyDescent="0.25">
      <c r="A12" s="284"/>
      <c r="B12" s="633" t="s">
        <v>142</v>
      </c>
      <c r="C12" s="634"/>
      <c r="D12" s="325">
        <v>1E-3</v>
      </c>
      <c r="E12" s="325">
        <v>2E-3</v>
      </c>
      <c r="F12" s="325">
        <v>4.0000000000000001E-3</v>
      </c>
      <c r="G12" s="325">
        <v>6.0000000000000001E-3</v>
      </c>
      <c r="H12" s="325">
        <v>8.0000000000000002E-3</v>
      </c>
      <c r="I12" s="326">
        <v>0.01</v>
      </c>
      <c r="J12" s="320"/>
      <c r="K12" s="320"/>
      <c r="L12" s="320"/>
      <c r="M12" s="320"/>
      <c r="N12" s="320"/>
    </row>
    <row r="13" spans="1:14" s="327" customFormat="1" ht="18" customHeight="1" thickBot="1" x14ac:dyDescent="0.25">
      <c r="A13" s="329"/>
      <c r="B13" s="494" t="s">
        <v>498</v>
      </c>
      <c r="C13" s="330"/>
      <c r="D13" s="331">
        <f t="shared" ref="D13:I13" si="0">_xlfn.BINOM.INV(D10,D11,D12)</f>
        <v>35</v>
      </c>
      <c r="E13" s="331">
        <f t="shared" si="0"/>
        <v>36</v>
      </c>
      <c r="F13" s="331">
        <f t="shared" si="0"/>
        <v>37</v>
      </c>
      <c r="G13" s="331">
        <f t="shared" si="0"/>
        <v>37</v>
      </c>
      <c r="H13" s="331">
        <f t="shared" si="0"/>
        <v>38</v>
      </c>
      <c r="I13" s="331">
        <f t="shared" si="0"/>
        <v>38</v>
      </c>
      <c r="J13" s="328"/>
      <c r="K13" s="328"/>
      <c r="L13" s="328"/>
    </row>
    <row r="14" spans="1:14" x14ac:dyDescent="0.2">
      <c r="D14" s="586" t="s">
        <v>495</v>
      </c>
    </row>
    <row r="16" spans="1:14" x14ac:dyDescent="0.2">
      <c r="B16" s="38" t="s">
        <v>41</v>
      </c>
    </row>
    <row r="17" spans="2:10" ht="28.5" customHeight="1" x14ac:dyDescent="0.2">
      <c r="B17" s="624" t="s">
        <v>147</v>
      </c>
      <c r="C17" s="624"/>
      <c r="D17" s="624"/>
      <c r="E17" s="624"/>
      <c r="F17" s="624"/>
      <c r="G17" s="624"/>
      <c r="H17" s="624"/>
      <c r="I17" s="624"/>
      <c r="J17" s="624"/>
    </row>
    <row r="18" spans="2:10" x14ac:dyDescent="0.2">
      <c r="B18" s="625" t="s">
        <v>499</v>
      </c>
      <c r="C18" s="626"/>
      <c r="D18" s="626"/>
      <c r="E18" s="626"/>
      <c r="F18" s="626"/>
      <c r="G18" s="626"/>
      <c r="H18" s="626"/>
      <c r="I18" s="626"/>
      <c r="J18" s="626"/>
    </row>
    <row r="19" spans="2:10" x14ac:dyDescent="0.2">
      <c r="B19" s="626"/>
      <c r="C19" s="626"/>
      <c r="D19" s="626"/>
      <c r="E19" s="626"/>
      <c r="F19" s="626"/>
      <c r="G19" s="626"/>
      <c r="H19" s="626"/>
      <c r="I19" s="626"/>
      <c r="J19" s="626"/>
    </row>
  </sheetData>
  <mergeCells count="8">
    <mergeCell ref="E4:J4"/>
    <mergeCell ref="D5:J5"/>
    <mergeCell ref="B17:J17"/>
    <mergeCell ref="B18:J19"/>
    <mergeCell ref="B7:J8"/>
    <mergeCell ref="B10:C10"/>
    <mergeCell ref="B11:C11"/>
    <mergeCell ref="B12:C12"/>
  </mergeCells>
  <phoneticPr fontId="5" type="noConversion"/>
  <pageMargins left="0.78740157499999996" right="0.78740157499999996" top="0.984251969" bottom="0.984251969" header="0.4921259845" footer="0.4921259845"/>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opLeftCell="B1" workbookViewId="0">
      <selection activeCell="I29" sqref="I29"/>
    </sheetView>
  </sheetViews>
  <sheetFormatPr baseColWidth="10" defaultRowHeight="12.75" x14ac:dyDescent="0.2"/>
  <cols>
    <col min="1" max="1" width="3.5703125" customWidth="1"/>
    <col min="2" max="2" width="36.42578125" customWidth="1"/>
    <col min="3" max="3" width="15.42578125" customWidth="1"/>
    <col min="4" max="4" width="21.28515625" customWidth="1"/>
    <col min="5" max="5" width="28.5703125" customWidth="1"/>
    <col min="6" max="6" width="20" customWidth="1"/>
  </cols>
  <sheetData>
    <row r="1" spans="1:6" ht="18" customHeight="1" x14ac:dyDescent="0.25">
      <c r="B1" s="10" t="s">
        <v>8</v>
      </c>
      <c r="C1" s="11"/>
      <c r="D1" s="12" t="s">
        <v>512</v>
      </c>
      <c r="E1" s="11"/>
      <c r="F1" s="60"/>
    </row>
    <row r="2" spans="1:6" ht="18" customHeight="1" x14ac:dyDescent="0.25">
      <c r="B2" s="10" t="s">
        <v>16</v>
      </c>
      <c r="C2" s="11"/>
      <c r="D2" s="12" t="s">
        <v>512</v>
      </c>
      <c r="E2" s="11"/>
      <c r="F2" s="60"/>
    </row>
    <row r="3" spans="1:6" ht="18" customHeight="1" x14ac:dyDescent="0.2">
      <c r="B3" s="10" t="s">
        <v>17</v>
      </c>
      <c r="C3" s="11"/>
      <c r="D3" s="10" t="s">
        <v>18</v>
      </c>
      <c r="E3" s="11"/>
      <c r="F3" s="60"/>
    </row>
    <row r="4" spans="1:6" ht="18" customHeight="1" x14ac:dyDescent="0.2">
      <c r="B4" s="10" t="s">
        <v>19</v>
      </c>
      <c r="C4" s="11"/>
      <c r="D4" s="612" t="s">
        <v>513</v>
      </c>
      <c r="E4" s="640"/>
      <c r="F4" s="15"/>
    </row>
    <row r="5" spans="1:6" ht="43.5" customHeight="1" x14ac:dyDescent="0.2">
      <c r="B5" s="13" t="s">
        <v>20</v>
      </c>
      <c r="C5" s="611" t="s">
        <v>23</v>
      </c>
      <c r="D5" s="635"/>
      <c r="E5" s="635"/>
      <c r="F5" s="16"/>
    </row>
    <row r="7" spans="1:6" ht="25.5" customHeight="1" x14ac:dyDescent="0.2">
      <c r="B7" s="646" t="s">
        <v>25</v>
      </c>
      <c r="C7" s="600"/>
      <c r="D7" s="600"/>
      <c r="E7" s="600"/>
    </row>
    <row r="8" spans="1:6" ht="13.5" thickBot="1" x14ac:dyDescent="0.25">
      <c r="B8" s="22"/>
      <c r="C8" s="22"/>
      <c r="D8" s="22"/>
      <c r="E8" s="22"/>
    </row>
    <row r="9" spans="1:6" ht="18" customHeight="1" thickBot="1" x14ac:dyDescent="0.25">
      <c r="A9" s="17"/>
      <c r="B9" s="28" t="s">
        <v>5</v>
      </c>
      <c r="C9" s="30" t="s">
        <v>0</v>
      </c>
      <c r="D9" s="31" t="s">
        <v>9</v>
      </c>
      <c r="E9" s="29"/>
    </row>
    <row r="10" spans="1:6" x14ac:dyDescent="0.2">
      <c r="A10" s="17"/>
      <c r="B10" s="24" t="s">
        <v>24</v>
      </c>
      <c r="C10" s="32">
        <v>0.85</v>
      </c>
      <c r="D10" s="23"/>
      <c r="E10" s="17"/>
    </row>
    <row r="11" spans="1:6" x14ac:dyDescent="0.2">
      <c r="A11" s="17"/>
      <c r="B11" s="25" t="s">
        <v>6</v>
      </c>
      <c r="C11" s="33">
        <v>2000</v>
      </c>
      <c r="D11" s="18"/>
      <c r="E11" s="18"/>
    </row>
    <row r="12" spans="1:6" x14ac:dyDescent="0.2">
      <c r="A12" s="17"/>
      <c r="B12" s="26" t="s">
        <v>7</v>
      </c>
      <c r="C12" s="34">
        <v>579</v>
      </c>
      <c r="D12" s="19"/>
      <c r="E12" s="19"/>
    </row>
    <row r="13" spans="1:6" ht="13.5" thickBot="1" x14ac:dyDescent="0.25">
      <c r="A13" s="17"/>
      <c r="B13" s="55"/>
      <c r="C13" s="56"/>
      <c r="D13" s="58">
        <f>_xlfn.NORM.INV(C10,C11,C12)</f>
        <v>2600.0949325169045</v>
      </c>
      <c r="E13" s="57" t="s">
        <v>514</v>
      </c>
    </row>
    <row r="14" spans="1:6" x14ac:dyDescent="0.2">
      <c r="A14" s="1"/>
      <c r="B14" s="6"/>
      <c r="C14" s="39"/>
      <c r="D14" s="40"/>
      <c r="E14" s="7"/>
    </row>
    <row r="15" spans="1:6" ht="25.5" customHeight="1" x14ac:dyDescent="0.2">
      <c r="A15" s="1"/>
      <c r="B15" s="646" t="s">
        <v>26</v>
      </c>
      <c r="C15" s="600"/>
      <c r="D15" s="600"/>
      <c r="E15" s="600"/>
    </row>
    <row r="16" spans="1:6" ht="13.5" thickBot="1" x14ac:dyDescent="0.25">
      <c r="A16" s="1"/>
      <c r="B16" s="22"/>
      <c r="C16" s="22"/>
      <c r="D16" s="22"/>
      <c r="E16" s="22"/>
    </row>
    <row r="17" spans="1:5" ht="13.5" thickBot="1" x14ac:dyDescent="0.25">
      <c r="A17" s="1"/>
      <c r="B17" s="28" t="s">
        <v>5</v>
      </c>
      <c r="C17" s="30" t="s">
        <v>0</v>
      </c>
      <c r="D17" s="31" t="s">
        <v>9</v>
      </c>
      <c r="E17" s="29"/>
    </row>
    <row r="18" spans="1:5" x14ac:dyDescent="0.2">
      <c r="B18" s="24" t="s">
        <v>24</v>
      </c>
      <c r="C18" s="32">
        <v>0.15</v>
      </c>
      <c r="D18" s="23"/>
      <c r="E18" s="17"/>
    </row>
    <row r="19" spans="1:5" x14ac:dyDescent="0.2">
      <c r="B19" s="25" t="s">
        <v>6</v>
      </c>
      <c r="C19" s="33">
        <v>2000</v>
      </c>
      <c r="D19" s="18"/>
      <c r="E19" s="18"/>
    </row>
    <row r="20" spans="1:5" x14ac:dyDescent="0.2">
      <c r="B20" s="26" t="s">
        <v>7</v>
      </c>
      <c r="C20" s="34">
        <v>579</v>
      </c>
      <c r="D20" s="19"/>
      <c r="E20" s="19"/>
    </row>
    <row r="21" spans="1:5" ht="13.5" thickBot="1" x14ac:dyDescent="0.25">
      <c r="B21" s="55"/>
      <c r="C21" s="56"/>
      <c r="D21" s="58">
        <f>_xlfn.NORM.INV(C18,C19,C20)</f>
        <v>1399.9050674830955</v>
      </c>
      <c r="E21" s="59" t="s">
        <v>515</v>
      </c>
    </row>
    <row r="22" spans="1:5" x14ac:dyDescent="0.2">
      <c r="B22" s="6"/>
      <c r="C22" s="39"/>
      <c r="D22" s="42"/>
      <c r="E22" s="7"/>
    </row>
    <row r="23" spans="1:5" x14ac:dyDescent="0.2">
      <c r="B23" s="6"/>
      <c r="C23" s="39"/>
      <c r="D23" s="42"/>
      <c r="E23" s="7"/>
    </row>
    <row r="24" spans="1:5" x14ac:dyDescent="0.2">
      <c r="B24" s="41" t="s">
        <v>4</v>
      </c>
      <c r="C24" s="39"/>
      <c r="D24" s="42"/>
      <c r="E24" s="7"/>
    </row>
    <row r="25" spans="1:5" x14ac:dyDescent="0.2">
      <c r="B25" s="1" t="str">
        <f>TEXT(C10,"#%")&amp;" der Glühbirnen haben eine Brennleistung von bis zu "&amp;ROUND(D13,0)&amp;" Stunden"</f>
        <v>85% der Glühbirnen haben eine Brennleistung von bis zu 2600 Stunden</v>
      </c>
      <c r="C25" s="1"/>
      <c r="D25" s="43"/>
      <c r="E25" s="3"/>
    </row>
    <row r="26" spans="1:5" x14ac:dyDescent="0.2">
      <c r="B26" s="1" t="str">
        <f>TEXT(C18,"#%")&amp;" der Glühbirnen haben eine Brennleistung von nur "&amp;ROUND(D21,0)&amp;" Stunden"</f>
        <v>15% der Glühbirnen haben eine Brennleistung von nur 1400 Stunden</v>
      </c>
      <c r="C26" s="1"/>
      <c r="D26" s="43"/>
      <c r="E26" s="3"/>
    </row>
    <row r="27" spans="1:5" x14ac:dyDescent="0.2">
      <c r="B27" s="1"/>
      <c r="C27" s="1"/>
      <c r="D27" s="43"/>
      <c r="E27" s="3"/>
    </row>
    <row r="29" spans="1:5" ht="13.5" thickBot="1" x14ac:dyDescent="0.25">
      <c r="B29" s="1"/>
    </row>
    <row r="30" spans="1:5" ht="13.5" thickBot="1" x14ac:dyDescent="0.25">
      <c r="B30" s="52" t="s">
        <v>22</v>
      </c>
      <c r="C30" s="54" t="s">
        <v>6</v>
      </c>
      <c r="D30" s="51" t="s">
        <v>7</v>
      </c>
    </row>
    <row r="31" spans="1:5" ht="13.5" thickBot="1" x14ac:dyDescent="0.25">
      <c r="B31" s="44">
        <v>1000</v>
      </c>
      <c r="C31" s="49">
        <f>AVERAGE(B31:B71)</f>
        <v>2000</v>
      </c>
      <c r="D31" s="50">
        <f>STDEVP(B31:B70)</f>
        <v>578.79184513951122</v>
      </c>
    </row>
    <row r="32" spans="1:5" x14ac:dyDescent="0.2">
      <c r="B32" s="45">
        <v>1100</v>
      </c>
    </row>
    <row r="33" spans="2:2" x14ac:dyDescent="0.2">
      <c r="B33" s="44">
        <v>1200</v>
      </c>
    </row>
    <row r="34" spans="2:2" x14ac:dyDescent="0.2">
      <c r="B34" s="45">
        <v>1300</v>
      </c>
    </row>
    <row r="35" spans="2:2" x14ac:dyDescent="0.2">
      <c r="B35" s="44">
        <v>1400</v>
      </c>
    </row>
    <row r="36" spans="2:2" x14ac:dyDescent="0.2">
      <c r="B36" s="45">
        <v>1500</v>
      </c>
    </row>
    <row r="37" spans="2:2" x14ac:dyDescent="0.2">
      <c r="B37" s="44">
        <v>1600</v>
      </c>
    </row>
    <row r="38" spans="2:2" x14ac:dyDescent="0.2">
      <c r="B38" s="45">
        <v>1700</v>
      </c>
    </row>
    <row r="39" spans="2:2" x14ac:dyDescent="0.2">
      <c r="B39" s="44">
        <v>1800</v>
      </c>
    </row>
    <row r="40" spans="2:2" x14ac:dyDescent="0.2">
      <c r="B40" s="45">
        <v>1900</v>
      </c>
    </row>
    <row r="41" spans="2:2" x14ac:dyDescent="0.2">
      <c r="B41" s="44">
        <v>2000</v>
      </c>
    </row>
    <row r="42" spans="2:2" x14ac:dyDescent="0.2">
      <c r="B42" s="45">
        <v>2100</v>
      </c>
    </row>
    <row r="43" spans="2:2" x14ac:dyDescent="0.2">
      <c r="B43" s="44">
        <v>2200</v>
      </c>
    </row>
    <row r="44" spans="2:2" x14ac:dyDescent="0.2">
      <c r="B44" s="45">
        <v>2300</v>
      </c>
    </row>
    <row r="45" spans="2:2" x14ac:dyDescent="0.2">
      <c r="B45" s="44">
        <v>2400</v>
      </c>
    </row>
    <row r="46" spans="2:2" x14ac:dyDescent="0.2">
      <c r="B46" s="45">
        <v>2500</v>
      </c>
    </row>
    <row r="47" spans="2:2" x14ac:dyDescent="0.2">
      <c r="B47" s="44">
        <v>2600</v>
      </c>
    </row>
    <row r="48" spans="2:2" x14ac:dyDescent="0.2">
      <c r="B48" s="45">
        <v>2700</v>
      </c>
    </row>
    <row r="49" spans="2:2" x14ac:dyDescent="0.2">
      <c r="B49" s="44">
        <v>2800</v>
      </c>
    </row>
    <row r="50" spans="2:2" x14ac:dyDescent="0.2">
      <c r="B50" s="45">
        <v>2900</v>
      </c>
    </row>
    <row r="51" spans="2:2" x14ac:dyDescent="0.2">
      <c r="B51" s="44">
        <v>3000</v>
      </c>
    </row>
    <row r="52" spans="2:2" x14ac:dyDescent="0.2">
      <c r="B52" s="45">
        <v>2900</v>
      </c>
    </row>
    <row r="53" spans="2:2" x14ac:dyDescent="0.2">
      <c r="B53" s="44">
        <v>2800</v>
      </c>
    </row>
    <row r="54" spans="2:2" x14ac:dyDescent="0.2">
      <c r="B54" s="45">
        <v>2700</v>
      </c>
    </row>
    <row r="55" spans="2:2" x14ac:dyDescent="0.2">
      <c r="B55" s="44">
        <v>2600</v>
      </c>
    </row>
    <row r="56" spans="2:2" x14ac:dyDescent="0.2">
      <c r="B56" s="45">
        <v>2500</v>
      </c>
    </row>
    <row r="57" spans="2:2" x14ac:dyDescent="0.2">
      <c r="B57" s="44">
        <v>2400</v>
      </c>
    </row>
    <row r="58" spans="2:2" x14ac:dyDescent="0.2">
      <c r="B58" s="45">
        <v>2300</v>
      </c>
    </row>
    <row r="59" spans="2:2" x14ac:dyDescent="0.2">
      <c r="B59" s="44">
        <v>2200</v>
      </c>
    </row>
    <row r="60" spans="2:2" x14ac:dyDescent="0.2">
      <c r="B60" s="45">
        <v>2100</v>
      </c>
    </row>
    <row r="61" spans="2:2" x14ac:dyDescent="0.2">
      <c r="B61" s="44">
        <v>2000</v>
      </c>
    </row>
    <row r="62" spans="2:2" x14ac:dyDescent="0.2">
      <c r="B62" s="45">
        <v>1900</v>
      </c>
    </row>
    <row r="63" spans="2:2" x14ac:dyDescent="0.2">
      <c r="B63" s="44">
        <v>1800</v>
      </c>
    </row>
    <row r="64" spans="2:2" x14ac:dyDescent="0.2">
      <c r="B64" s="45">
        <v>1700</v>
      </c>
    </row>
    <row r="65" spans="2:2" x14ac:dyDescent="0.2">
      <c r="B65" s="44">
        <v>1600</v>
      </c>
    </row>
    <row r="66" spans="2:2" x14ac:dyDescent="0.2">
      <c r="B66" s="45">
        <v>1500</v>
      </c>
    </row>
    <row r="67" spans="2:2" x14ac:dyDescent="0.2">
      <c r="B67" s="44">
        <v>1400</v>
      </c>
    </row>
    <row r="68" spans="2:2" x14ac:dyDescent="0.2">
      <c r="B68" s="45">
        <v>1300</v>
      </c>
    </row>
    <row r="69" spans="2:2" x14ac:dyDescent="0.2">
      <c r="B69" s="44">
        <v>1200</v>
      </c>
    </row>
    <row r="70" spans="2:2" ht="13.5" thickBot="1" x14ac:dyDescent="0.25">
      <c r="B70" s="46">
        <v>1100</v>
      </c>
    </row>
  </sheetData>
  <mergeCells count="4">
    <mergeCell ref="B7:E7"/>
    <mergeCell ref="B15:E15"/>
    <mergeCell ref="D4:E4"/>
    <mergeCell ref="C5:E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B1" workbookViewId="0">
      <selection activeCell="E10" sqref="E10"/>
    </sheetView>
  </sheetViews>
  <sheetFormatPr baseColWidth="10" defaultRowHeight="12.75" x14ac:dyDescent="0.2"/>
  <cols>
    <col min="1" max="1" width="4.5703125" customWidth="1"/>
    <col min="2" max="2" width="18.7109375" customWidth="1"/>
    <col min="3" max="3" width="20.5703125" customWidth="1"/>
    <col min="4" max="4" width="21.140625" customWidth="1"/>
    <col min="5" max="5" width="22.42578125" customWidth="1"/>
    <col min="7" max="7" width="20.28515625" customWidth="1"/>
  </cols>
  <sheetData>
    <row r="1" spans="1:7" ht="15.75" x14ac:dyDescent="0.2">
      <c r="B1" s="62" t="s">
        <v>8</v>
      </c>
      <c r="C1" s="439"/>
      <c r="D1" s="440" t="s">
        <v>524</v>
      </c>
      <c r="E1" s="441"/>
      <c r="F1" s="441"/>
      <c r="G1" s="441"/>
    </row>
    <row r="2" spans="1:7" ht="15.75" x14ac:dyDescent="0.2">
      <c r="B2" s="62" t="s">
        <v>16</v>
      </c>
      <c r="C2" s="439"/>
      <c r="D2" s="440" t="s">
        <v>524</v>
      </c>
      <c r="E2" s="441"/>
      <c r="F2" s="441"/>
      <c r="G2" s="441"/>
    </row>
    <row r="3" spans="1:7" ht="15" x14ac:dyDescent="0.2">
      <c r="B3" s="62" t="s">
        <v>17</v>
      </c>
      <c r="C3" s="439"/>
      <c r="D3" s="62" t="s">
        <v>18</v>
      </c>
      <c r="E3" s="441"/>
      <c r="F3" s="441"/>
      <c r="G3" s="441"/>
    </row>
    <row r="4" spans="1:7" ht="15" x14ac:dyDescent="0.2">
      <c r="B4" s="62" t="s">
        <v>19</v>
      </c>
      <c r="C4" s="439"/>
      <c r="D4" s="650" t="s">
        <v>525</v>
      </c>
      <c r="E4" s="624"/>
      <c r="F4" s="624"/>
      <c r="G4" s="624"/>
    </row>
    <row r="5" spans="1:7" ht="15" x14ac:dyDescent="0.2">
      <c r="B5" s="13" t="s">
        <v>20</v>
      </c>
      <c r="C5" s="611" t="s">
        <v>306</v>
      </c>
      <c r="D5" s="660"/>
      <c r="E5" s="660"/>
      <c r="F5" s="660"/>
      <c r="G5" s="660"/>
    </row>
    <row r="8" spans="1:7" ht="13.5" thickBot="1" x14ac:dyDescent="0.25"/>
    <row r="9" spans="1:7" ht="39" thickBot="1" x14ac:dyDescent="0.25">
      <c r="A9" s="17"/>
      <c r="B9" s="509" t="s">
        <v>302</v>
      </c>
      <c r="C9" s="505" t="s">
        <v>301</v>
      </c>
      <c r="D9" s="222" t="s">
        <v>305</v>
      </c>
      <c r="E9" s="588" t="s">
        <v>307</v>
      </c>
    </row>
    <row r="10" spans="1:7" x14ac:dyDescent="0.2">
      <c r="A10" s="17"/>
      <c r="B10" s="342">
        <v>1</v>
      </c>
      <c r="C10" s="44">
        <v>1000</v>
      </c>
      <c r="D10" s="511">
        <v>4.2017706759221785E-2</v>
      </c>
      <c r="E10" s="589">
        <f>_xlfn.NORM.S.INV(D10)</f>
        <v>-1.7277368511627194</v>
      </c>
      <c r="F10" s="129" t="s">
        <v>526</v>
      </c>
    </row>
    <row r="11" spans="1:7" x14ac:dyDescent="0.2">
      <c r="A11" s="17"/>
      <c r="B11" s="449">
        <v>2</v>
      </c>
      <c r="C11" s="45">
        <v>1100</v>
      </c>
      <c r="D11" s="512">
        <v>5.9977421014579924E-2</v>
      </c>
      <c r="E11" s="590">
        <f t="shared" ref="E11:E49" si="0">_xlfn.NORM.S.INV(D11)</f>
        <v>-1.554963166046448</v>
      </c>
    </row>
    <row r="12" spans="1:7" ht="13.5" thickBot="1" x14ac:dyDescent="0.25">
      <c r="A12" s="17"/>
      <c r="B12" s="342">
        <v>3</v>
      </c>
      <c r="C12" s="44">
        <v>1200</v>
      </c>
      <c r="D12" s="511">
        <v>8.3456764554106555E-2</v>
      </c>
      <c r="E12" s="589">
        <f t="shared" si="0"/>
        <v>-1.3821894809301767</v>
      </c>
      <c r="G12" s="224" t="s">
        <v>248</v>
      </c>
    </row>
    <row r="13" spans="1:7" ht="13.5" thickBot="1" x14ac:dyDescent="0.25">
      <c r="A13" s="17"/>
      <c r="B13" s="449">
        <v>4</v>
      </c>
      <c r="C13" s="45">
        <v>1300</v>
      </c>
      <c r="D13" s="512">
        <v>0.11325157156836019</v>
      </c>
      <c r="E13" s="590">
        <f t="shared" si="0"/>
        <v>-1.2094157958139042</v>
      </c>
      <c r="G13" s="508" t="s">
        <v>6</v>
      </c>
    </row>
    <row r="14" spans="1:7" ht="13.5" thickBot="1" x14ac:dyDescent="0.25">
      <c r="A14" s="17"/>
      <c r="B14" s="342">
        <v>5</v>
      </c>
      <c r="C14" s="44">
        <v>1400</v>
      </c>
      <c r="D14" s="511">
        <v>0.14995134008347921</v>
      </c>
      <c r="E14" s="589">
        <f t="shared" si="0"/>
        <v>-1.0366421106976318</v>
      </c>
      <c r="F14" s="1"/>
      <c r="G14" s="275">
        <f>AVERAGE(C10:C49)</f>
        <v>2000</v>
      </c>
    </row>
    <row r="15" spans="1:7" ht="13.5" thickBot="1" x14ac:dyDescent="0.25">
      <c r="A15" s="17"/>
      <c r="B15" s="449">
        <v>6</v>
      </c>
      <c r="C15" s="45">
        <v>1500</v>
      </c>
      <c r="D15" s="512">
        <v>0.1938300868173396</v>
      </c>
      <c r="E15" s="590">
        <f t="shared" si="0"/>
        <v>-0.8638684255813599</v>
      </c>
      <c r="F15" s="1"/>
      <c r="G15" s="508" t="s">
        <v>7</v>
      </c>
    </row>
    <row r="16" spans="1:7" ht="13.5" thickBot="1" x14ac:dyDescent="0.25">
      <c r="A16" s="17"/>
      <c r="B16" s="342">
        <v>7</v>
      </c>
      <c r="C16" s="44">
        <v>1600</v>
      </c>
      <c r="D16" s="511">
        <v>0.24475300265913402</v>
      </c>
      <c r="E16" s="589">
        <f t="shared" si="0"/>
        <v>-0.69109474046508779</v>
      </c>
      <c r="F16" s="1"/>
      <c r="G16" s="498">
        <f>STDEVP(C10:C49)</f>
        <v>578.79184513951122</v>
      </c>
    </row>
    <row r="17" spans="1:10" x14ac:dyDescent="0.2">
      <c r="A17" s="17"/>
      <c r="B17" s="449">
        <v>8</v>
      </c>
      <c r="C17" s="45">
        <v>1700</v>
      </c>
      <c r="D17" s="512">
        <v>0.30211714239749754</v>
      </c>
      <c r="E17" s="590">
        <f t="shared" si="0"/>
        <v>-0.51832105534881623</v>
      </c>
      <c r="F17" s="1"/>
      <c r="J17" s="1"/>
    </row>
    <row r="18" spans="1:10" x14ac:dyDescent="0.2">
      <c r="A18" s="17"/>
      <c r="B18" s="342">
        <v>9</v>
      </c>
      <c r="C18" s="44">
        <v>1800</v>
      </c>
      <c r="D18" s="511">
        <v>0.36484145222162456</v>
      </c>
      <c r="E18" s="589">
        <f t="shared" si="0"/>
        <v>-0.34554737023254412</v>
      </c>
      <c r="F18" s="1"/>
      <c r="G18" s="510"/>
    </row>
    <row r="19" spans="1:10" x14ac:dyDescent="0.2">
      <c r="A19" s="17"/>
      <c r="B19" s="449">
        <v>10</v>
      </c>
      <c r="C19" s="45">
        <v>1900</v>
      </c>
      <c r="D19" s="512">
        <v>0.4314146610930939</v>
      </c>
      <c r="E19" s="590">
        <f t="shared" si="0"/>
        <v>-0.17277368511627211</v>
      </c>
    </row>
    <row r="20" spans="1:10" x14ac:dyDescent="0.2">
      <c r="A20" s="17"/>
      <c r="B20" s="342">
        <v>11</v>
      </c>
      <c r="C20" s="44">
        <v>2000</v>
      </c>
      <c r="D20" s="511">
        <v>0.5</v>
      </c>
      <c r="E20" s="589">
        <f t="shared" si="0"/>
        <v>0</v>
      </c>
    </row>
    <row r="21" spans="1:10" x14ac:dyDescent="0.2">
      <c r="A21" s="17"/>
      <c r="B21" s="449">
        <v>12</v>
      </c>
      <c r="C21" s="45">
        <v>2100</v>
      </c>
      <c r="D21" s="512">
        <v>0.5685853389069061</v>
      </c>
      <c r="E21" s="590">
        <f t="shared" si="0"/>
        <v>0.17277368511627211</v>
      </c>
    </row>
    <row r="22" spans="1:10" x14ac:dyDescent="0.2">
      <c r="A22" s="17"/>
      <c r="B22" s="342">
        <v>13</v>
      </c>
      <c r="C22" s="44">
        <v>2200</v>
      </c>
      <c r="D22" s="511">
        <v>0.63515854777837544</v>
      </c>
      <c r="E22" s="589">
        <f t="shared" si="0"/>
        <v>0.34554737023254412</v>
      </c>
    </row>
    <row r="23" spans="1:10" x14ac:dyDescent="0.2">
      <c r="A23" s="17"/>
      <c r="B23" s="449">
        <v>14</v>
      </c>
      <c r="C23" s="45">
        <v>2300</v>
      </c>
      <c r="D23" s="512">
        <v>0.69788285760250246</v>
      </c>
      <c r="E23" s="590">
        <f t="shared" si="0"/>
        <v>0.51832105534881623</v>
      </c>
    </row>
    <row r="24" spans="1:10" x14ac:dyDescent="0.2">
      <c r="A24" s="17"/>
      <c r="B24" s="342">
        <v>15</v>
      </c>
      <c r="C24" s="44">
        <v>2400</v>
      </c>
      <c r="D24" s="511">
        <v>0.75524699734086598</v>
      </c>
      <c r="E24" s="589">
        <f t="shared" si="0"/>
        <v>0.69109474046508779</v>
      </c>
    </row>
    <row r="25" spans="1:10" x14ac:dyDescent="0.2">
      <c r="A25" s="17"/>
      <c r="B25" s="449">
        <v>16</v>
      </c>
      <c r="C25" s="45">
        <v>2500</v>
      </c>
      <c r="D25" s="512">
        <v>0.8061699131826604</v>
      </c>
      <c r="E25" s="590">
        <f t="shared" si="0"/>
        <v>0.8638684255813599</v>
      </c>
    </row>
    <row r="26" spans="1:10" x14ac:dyDescent="0.2">
      <c r="A26" s="17"/>
      <c r="B26" s="342">
        <v>17</v>
      </c>
      <c r="C26" s="44">
        <v>2600</v>
      </c>
      <c r="D26" s="511">
        <v>0.85004865991652079</v>
      </c>
      <c r="E26" s="589">
        <f t="shared" si="0"/>
        <v>1.0366421106976318</v>
      </c>
    </row>
    <row r="27" spans="1:10" x14ac:dyDescent="0.2">
      <c r="A27" s="17"/>
      <c r="B27" s="449">
        <v>18</v>
      </c>
      <c r="C27" s="45">
        <v>2700</v>
      </c>
      <c r="D27" s="512">
        <v>0.88674842843163981</v>
      </c>
      <c r="E27" s="590">
        <f t="shared" si="0"/>
        <v>1.2094157958139042</v>
      </c>
    </row>
    <row r="28" spans="1:10" x14ac:dyDescent="0.2">
      <c r="A28" s="17"/>
      <c r="B28" s="342">
        <v>19</v>
      </c>
      <c r="C28" s="44">
        <v>2800</v>
      </c>
      <c r="D28" s="511">
        <v>0.91654323544589344</v>
      </c>
      <c r="E28" s="589">
        <f t="shared" si="0"/>
        <v>1.3821894809301767</v>
      </c>
    </row>
    <row r="29" spans="1:10" x14ac:dyDescent="0.2">
      <c r="A29" s="17"/>
      <c r="B29" s="449">
        <v>20</v>
      </c>
      <c r="C29" s="45">
        <v>2900</v>
      </c>
      <c r="D29" s="512">
        <v>0.94002257898542008</v>
      </c>
      <c r="E29" s="590">
        <f t="shared" si="0"/>
        <v>1.554963166046448</v>
      </c>
    </row>
    <row r="30" spans="1:10" x14ac:dyDescent="0.2">
      <c r="A30" s="17"/>
      <c r="B30" s="342">
        <v>21</v>
      </c>
      <c r="C30" s="44">
        <v>3000</v>
      </c>
      <c r="D30" s="511">
        <v>0.95798229324077822</v>
      </c>
      <c r="E30" s="589">
        <f t="shared" si="0"/>
        <v>1.7277368511627194</v>
      </c>
    </row>
    <row r="31" spans="1:10" x14ac:dyDescent="0.2">
      <c r="A31" s="17"/>
      <c r="B31" s="449">
        <v>22</v>
      </c>
      <c r="C31" s="45">
        <v>2900</v>
      </c>
      <c r="D31" s="512">
        <v>0.94002257898542008</v>
      </c>
      <c r="E31" s="590">
        <f t="shared" si="0"/>
        <v>1.554963166046448</v>
      </c>
    </row>
    <row r="32" spans="1:10" x14ac:dyDescent="0.2">
      <c r="A32" s="17"/>
      <c r="B32" s="342">
        <v>23</v>
      </c>
      <c r="C32" s="44">
        <v>2800</v>
      </c>
      <c r="D32" s="511">
        <v>0.91654323544589344</v>
      </c>
      <c r="E32" s="589">
        <f t="shared" si="0"/>
        <v>1.3821894809301767</v>
      </c>
    </row>
    <row r="33" spans="1:5" x14ac:dyDescent="0.2">
      <c r="A33" s="17"/>
      <c r="B33" s="449">
        <v>24</v>
      </c>
      <c r="C33" s="45">
        <v>2700</v>
      </c>
      <c r="D33" s="512">
        <v>0.88674842843163981</v>
      </c>
      <c r="E33" s="590">
        <f t="shared" si="0"/>
        <v>1.2094157958139042</v>
      </c>
    </row>
    <row r="34" spans="1:5" x14ac:dyDescent="0.2">
      <c r="A34" s="17"/>
      <c r="B34" s="342">
        <v>25</v>
      </c>
      <c r="C34" s="44">
        <v>2600</v>
      </c>
      <c r="D34" s="511">
        <v>0.85004865991652079</v>
      </c>
      <c r="E34" s="589">
        <f t="shared" si="0"/>
        <v>1.0366421106976318</v>
      </c>
    </row>
    <row r="35" spans="1:5" x14ac:dyDescent="0.2">
      <c r="A35" s="17"/>
      <c r="B35" s="449">
        <v>26</v>
      </c>
      <c r="C35" s="45">
        <v>2500</v>
      </c>
      <c r="D35" s="512">
        <v>0.8061699131826604</v>
      </c>
      <c r="E35" s="590">
        <f t="shared" si="0"/>
        <v>0.8638684255813599</v>
      </c>
    </row>
    <row r="36" spans="1:5" x14ac:dyDescent="0.2">
      <c r="A36" s="17"/>
      <c r="B36" s="342">
        <v>27</v>
      </c>
      <c r="C36" s="44">
        <v>2400</v>
      </c>
      <c r="D36" s="511">
        <v>0.75524699734086598</v>
      </c>
      <c r="E36" s="589">
        <f t="shared" si="0"/>
        <v>0.69109474046508779</v>
      </c>
    </row>
    <row r="37" spans="1:5" x14ac:dyDescent="0.2">
      <c r="A37" s="17"/>
      <c r="B37" s="449">
        <v>28</v>
      </c>
      <c r="C37" s="45">
        <v>2300</v>
      </c>
      <c r="D37" s="512">
        <v>0.69788285760250246</v>
      </c>
      <c r="E37" s="590">
        <f t="shared" si="0"/>
        <v>0.51832105534881623</v>
      </c>
    </row>
    <row r="38" spans="1:5" x14ac:dyDescent="0.2">
      <c r="A38" s="17"/>
      <c r="B38" s="342">
        <v>29</v>
      </c>
      <c r="C38" s="44">
        <v>2200</v>
      </c>
      <c r="D38" s="511">
        <v>0.63515854777837544</v>
      </c>
      <c r="E38" s="589">
        <f t="shared" si="0"/>
        <v>0.34554737023254412</v>
      </c>
    </row>
    <row r="39" spans="1:5" x14ac:dyDescent="0.2">
      <c r="A39" s="17"/>
      <c r="B39" s="449">
        <v>30</v>
      </c>
      <c r="C39" s="45">
        <v>2100</v>
      </c>
      <c r="D39" s="512">
        <v>0.5685853389069061</v>
      </c>
      <c r="E39" s="590">
        <f t="shared" si="0"/>
        <v>0.17277368511627211</v>
      </c>
    </row>
    <row r="40" spans="1:5" x14ac:dyDescent="0.2">
      <c r="A40" s="17"/>
      <c r="B40" s="342">
        <v>31</v>
      </c>
      <c r="C40" s="44">
        <v>2000</v>
      </c>
      <c r="D40" s="511">
        <v>0.5</v>
      </c>
      <c r="E40" s="589">
        <f t="shared" si="0"/>
        <v>0</v>
      </c>
    </row>
    <row r="41" spans="1:5" x14ac:dyDescent="0.2">
      <c r="A41" s="17"/>
      <c r="B41" s="449">
        <v>32</v>
      </c>
      <c r="C41" s="45">
        <v>1900</v>
      </c>
      <c r="D41" s="512">
        <v>0.4314146610930939</v>
      </c>
      <c r="E41" s="590">
        <f t="shared" si="0"/>
        <v>-0.17277368511627211</v>
      </c>
    </row>
    <row r="42" spans="1:5" x14ac:dyDescent="0.2">
      <c r="A42" s="17"/>
      <c r="B42" s="342">
        <v>33</v>
      </c>
      <c r="C42" s="44">
        <v>1800</v>
      </c>
      <c r="D42" s="511">
        <v>0.36484145222162456</v>
      </c>
      <c r="E42" s="589">
        <f t="shared" si="0"/>
        <v>-0.34554737023254412</v>
      </c>
    </row>
    <row r="43" spans="1:5" x14ac:dyDescent="0.2">
      <c r="A43" s="17"/>
      <c r="B43" s="449">
        <v>34</v>
      </c>
      <c r="C43" s="45">
        <v>1700</v>
      </c>
      <c r="D43" s="512">
        <v>0.30211714239749754</v>
      </c>
      <c r="E43" s="590">
        <f t="shared" si="0"/>
        <v>-0.51832105534881623</v>
      </c>
    </row>
    <row r="44" spans="1:5" x14ac:dyDescent="0.2">
      <c r="A44" s="17"/>
      <c r="B44" s="342">
        <v>35</v>
      </c>
      <c r="C44" s="44">
        <v>1600</v>
      </c>
      <c r="D44" s="511">
        <v>0.24475300265913402</v>
      </c>
      <c r="E44" s="589">
        <f t="shared" si="0"/>
        <v>-0.69109474046508779</v>
      </c>
    </row>
    <row r="45" spans="1:5" x14ac:dyDescent="0.2">
      <c r="A45" s="17"/>
      <c r="B45" s="449">
        <v>36</v>
      </c>
      <c r="C45" s="45">
        <v>1500</v>
      </c>
      <c r="D45" s="512">
        <v>0.1938300868173396</v>
      </c>
      <c r="E45" s="590">
        <f t="shared" si="0"/>
        <v>-0.8638684255813599</v>
      </c>
    </row>
    <row r="46" spans="1:5" x14ac:dyDescent="0.2">
      <c r="A46" s="17"/>
      <c r="B46" s="342">
        <v>37</v>
      </c>
      <c r="C46" s="44">
        <v>1400</v>
      </c>
      <c r="D46" s="511">
        <v>0.14995134008347921</v>
      </c>
      <c r="E46" s="589">
        <f t="shared" si="0"/>
        <v>-1.0366421106976318</v>
      </c>
    </row>
    <row r="47" spans="1:5" x14ac:dyDescent="0.2">
      <c r="A47" s="17"/>
      <c r="B47" s="449">
        <v>38</v>
      </c>
      <c r="C47" s="45">
        <v>1300</v>
      </c>
      <c r="D47" s="512">
        <v>0.11325157156836019</v>
      </c>
      <c r="E47" s="590">
        <f t="shared" si="0"/>
        <v>-1.2094157958139042</v>
      </c>
    </row>
    <row r="48" spans="1:5" x14ac:dyDescent="0.2">
      <c r="A48" s="17"/>
      <c r="B48" s="342">
        <v>39</v>
      </c>
      <c r="C48" s="44">
        <v>1200</v>
      </c>
      <c r="D48" s="511">
        <v>8.3456764554106555E-2</v>
      </c>
      <c r="E48" s="589">
        <f t="shared" si="0"/>
        <v>-1.3821894809301767</v>
      </c>
    </row>
    <row r="49" spans="1:5" ht="13.5" thickBot="1" x14ac:dyDescent="0.25">
      <c r="A49" s="17"/>
      <c r="B49" s="56">
        <v>40</v>
      </c>
      <c r="C49" s="46">
        <v>1100</v>
      </c>
      <c r="D49" s="513">
        <v>5.9977421014579924E-2</v>
      </c>
      <c r="E49" s="591">
        <f t="shared" si="0"/>
        <v>-1.554963166046448</v>
      </c>
    </row>
  </sheetData>
  <mergeCells count="2">
    <mergeCell ref="D4:G4"/>
    <mergeCell ref="C5:G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opLeftCell="B1" workbookViewId="0">
      <selection activeCell="G20" sqref="G20"/>
    </sheetView>
  </sheetViews>
  <sheetFormatPr baseColWidth="10" defaultRowHeight="12.75" x14ac:dyDescent="0.2"/>
  <cols>
    <col min="1" max="1" width="4.42578125" customWidth="1"/>
    <col min="2" max="2" width="15.85546875" customWidth="1"/>
    <col min="3" max="3" width="16.28515625" customWidth="1"/>
    <col min="4" max="4" width="20" customWidth="1"/>
    <col min="5" max="5" width="21.42578125" customWidth="1"/>
    <col min="6" max="6" width="15.7109375" customWidth="1"/>
    <col min="7" max="7" width="22.28515625" customWidth="1"/>
  </cols>
  <sheetData>
    <row r="1" spans="1:7" ht="15.75" x14ac:dyDescent="0.2">
      <c r="B1" s="62" t="s">
        <v>8</v>
      </c>
      <c r="C1" s="439"/>
      <c r="D1" s="440" t="s">
        <v>527</v>
      </c>
      <c r="E1" s="441"/>
      <c r="F1" s="441"/>
      <c r="G1" s="441"/>
    </row>
    <row r="2" spans="1:7" ht="15.75" x14ac:dyDescent="0.2">
      <c r="B2" s="62" t="s">
        <v>16</v>
      </c>
      <c r="C2" s="439"/>
      <c r="D2" s="440" t="s">
        <v>528</v>
      </c>
      <c r="E2" s="441"/>
      <c r="F2" s="441"/>
      <c r="G2" s="441"/>
    </row>
    <row r="3" spans="1:7" ht="15" x14ac:dyDescent="0.2">
      <c r="B3" s="62" t="s">
        <v>17</v>
      </c>
      <c r="C3" s="439"/>
      <c r="D3" s="62" t="s">
        <v>18</v>
      </c>
      <c r="E3" s="441"/>
      <c r="F3" s="441"/>
      <c r="G3" s="441"/>
    </row>
    <row r="4" spans="1:7" ht="15" x14ac:dyDescent="0.2">
      <c r="B4" s="62" t="s">
        <v>19</v>
      </c>
      <c r="C4" s="439"/>
      <c r="D4" s="650" t="s">
        <v>529</v>
      </c>
      <c r="E4" s="624"/>
      <c r="F4" s="624"/>
      <c r="G4" s="624"/>
    </row>
    <row r="5" spans="1:7" ht="27.75" customHeight="1" x14ac:dyDescent="0.2">
      <c r="B5" s="13" t="s">
        <v>20</v>
      </c>
      <c r="C5" s="611" t="s">
        <v>530</v>
      </c>
      <c r="D5" s="660"/>
      <c r="E5" s="660"/>
      <c r="F5" s="660"/>
      <c r="G5" s="660"/>
    </row>
    <row r="6" spans="1:7" ht="21" customHeight="1" x14ac:dyDescent="0.2">
      <c r="B6" s="13"/>
      <c r="C6" s="577"/>
      <c r="D6" s="63"/>
      <c r="E6" s="63"/>
      <c r="F6" s="63"/>
      <c r="G6" s="63"/>
    </row>
    <row r="8" spans="1:7" ht="13.5" thickBot="1" x14ac:dyDescent="0.25">
      <c r="B8" s="22"/>
    </row>
    <row r="9" spans="1:7" ht="39" thickBot="1" x14ac:dyDescent="0.25">
      <c r="A9" s="17"/>
      <c r="B9" s="483" t="s">
        <v>302</v>
      </c>
      <c r="C9" s="505" t="s">
        <v>301</v>
      </c>
      <c r="D9" s="223" t="s">
        <v>304</v>
      </c>
      <c r="E9" s="507" t="s">
        <v>305</v>
      </c>
    </row>
    <row r="10" spans="1:7" x14ac:dyDescent="0.2">
      <c r="A10" s="17"/>
      <c r="B10" s="342">
        <v>1</v>
      </c>
      <c r="C10" s="44">
        <v>1000</v>
      </c>
      <c r="D10" s="500">
        <f t="shared" ref="D10:D49" si="0">STANDARDIZE(C10,$G$14,$G$16)</f>
        <v>-1.7277368511627205</v>
      </c>
      <c r="E10" s="500">
        <f>_xlfn.NORM.S.DIST(D10,TRUE)</f>
        <v>4.2017706759221722E-2</v>
      </c>
      <c r="F10" s="586" t="s">
        <v>531</v>
      </c>
    </row>
    <row r="11" spans="1:7" x14ac:dyDescent="0.2">
      <c r="A11" s="17"/>
      <c r="B11" s="449">
        <v>2</v>
      </c>
      <c r="C11" s="45">
        <v>1100</v>
      </c>
      <c r="D11" s="501">
        <f t="shared" si="0"/>
        <v>-1.5549631660464482</v>
      </c>
      <c r="E11" s="501">
        <f t="shared" ref="E11:E49" si="1">_xlfn.NORM.S.DIST(D11,TRUE)</f>
        <v>5.9977421014579896E-2</v>
      </c>
    </row>
    <row r="12" spans="1:7" ht="13.5" thickBot="1" x14ac:dyDescent="0.25">
      <c r="A12" s="17"/>
      <c r="B12" s="342">
        <v>3</v>
      </c>
      <c r="C12" s="44">
        <v>1200</v>
      </c>
      <c r="D12" s="500">
        <f t="shared" si="0"/>
        <v>-1.3821894809301762</v>
      </c>
      <c r="E12" s="500">
        <f t="shared" si="1"/>
        <v>8.3456764554106444E-2</v>
      </c>
      <c r="G12" s="224" t="s">
        <v>248</v>
      </c>
    </row>
    <row r="13" spans="1:7" ht="13.5" thickBot="1" x14ac:dyDescent="0.25">
      <c r="A13" s="17"/>
      <c r="B13" s="449">
        <v>4</v>
      </c>
      <c r="C13" s="45">
        <v>1300</v>
      </c>
      <c r="D13" s="501">
        <f t="shared" si="0"/>
        <v>-1.2094157958139042</v>
      </c>
      <c r="E13" s="501">
        <f t="shared" si="1"/>
        <v>0.11325157156836017</v>
      </c>
      <c r="G13" s="508" t="s">
        <v>6</v>
      </c>
    </row>
    <row r="14" spans="1:7" ht="13.5" thickBot="1" x14ac:dyDescent="0.25">
      <c r="A14" s="17"/>
      <c r="B14" s="342">
        <v>5</v>
      </c>
      <c r="C14" s="44">
        <v>1400</v>
      </c>
      <c r="D14" s="500">
        <f t="shared" si="0"/>
        <v>-1.0366421106976322</v>
      </c>
      <c r="E14" s="500">
        <f t="shared" si="1"/>
        <v>0.14995134008347907</v>
      </c>
      <c r="F14" s="53"/>
      <c r="G14" s="275">
        <f>AVERAGE(C10:C49)</f>
        <v>2000</v>
      </c>
    </row>
    <row r="15" spans="1:7" ht="13.5" thickBot="1" x14ac:dyDescent="0.25">
      <c r="A15" s="17"/>
      <c r="B15" s="449">
        <v>6</v>
      </c>
      <c r="C15" s="45">
        <v>1500</v>
      </c>
      <c r="D15" s="501">
        <f t="shared" si="0"/>
        <v>-0.86386842558136023</v>
      </c>
      <c r="E15" s="501">
        <f t="shared" si="1"/>
        <v>0.19383008681733954</v>
      </c>
      <c r="F15" s="53"/>
      <c r="G15" s="508" t="s">
        <v>7</v>
      </c>
    </row>
    <row r="16" spans="1:7" ht="13.5" thickBot="1" x14ac:dyDescent="0.25">
      <c r="A16" s="17"/>
      <c r="B16" s="342">
        <v>7</v>
      </c>
      <c r="C16" s="44">
        <v>1600</v>
      </c>
      <c r="D16" s="500">
        <f t="shared" si="0"/>
        <v>-0.69109474046508812</v>
      </c>
      <c r="E16" s="500">
        <f t="shared" si="1"/>
        <v>0.24475300265913386</v>
      </c>
      <c r="F16" s="53"/>
      <c r="G16" s="498">
        <f>STDEVP(C10:C49)</f>
        <v>578.79184513951122</v>
      </c>
    </row>
    <row r="17" spans="1:10" x14ac:dyDescent="0.2">
      <c r="A17" s="17"/>
      <c r="B17" s="449">
        <v>8</v>
      </c>
      <c r="C17" s="45">
        <v>1700</v>
      </c>
      <c r="D17" s="501">
        <f t="shared" si="0"/>
        <v>-0.51832105534881612</v>
      </c>
      <c r="E17" s="501">
        <f t="shared" si="1"/>
        <v>0.30211714239749754</v>
      </c>
      <c r="F17" s="53"/>
      <c r="G17" s="1"/>
    </row>
    <row r="18" spans="1:10" x14ac:dyDescent="0.2">
      <c r="A18" s="17"/>
      <c r="B18" s="342">
        <v>9</v>
      </c>
      <c r="C18" s="44">
        <v>1800</v>
      </c>
      <c r="D18" s="500">
        <f t="shared" si="0"/>
        <v>-0.34554737023254406</v>
      </c>
      <c r="E18" s="500">
        <f t="shared" si="1"/>
        <v>0.36484145222162456</v>
      </c>
      <c r="F18" s="53"/>
      <c r="G18" s="1"/>
    </row>
    <row r="19" spans="1:10" x14ac:dyDescent="0.2">
      <c r="A19" s="17"/>
      <c r="B19" s="449">
        <v>10</v>
      </c>
      <c r="C19" s="45">
        <v>1900</v>
      </c>
      <c r="D19" s="501">
        <f t="shared" si="0"/>
        <v>-0.17277368511627203</v>
      </c>
      <c r="E19" s="501">
        <f t="shared" si="1"/>
        <v>0.4314146610930939</v>
      </c>
    </row>
    <row r="20" spans="1:10" x14ac:dyDescent="0.2">
      <c r="A20" s="17"/>
      <c r="B20" s="342">
        <v>11</v>
      </c>
      <c r="C20" s="44">
        <v>2000</v>
      </c>
      <c r="D20" s="500">
        <f t="shared" si="0"/>
        <v>0</v>
      </c>
      <c r="E20" s="500">
        <f t="shared" si="1"/>
        <v>0.5</v>
      </c>
    </row>
    <row r="21" spans="1:10" x14ac:dyDescent="0.2">
      <c r="A21" s="17"/>
      <c r="B21" s="449">
        <v>12</v>
      </c>
      <c r="C21" s="45">
        <v>2100</v>
      </c>
      <c r="D21" s="501">
        <f t="shared" si="0"/>
        <v>0.17277368511627203</v>
      </c>
      <c r="E21" s="501">
        <f t="shared" si="1"/>
        <v>0.5685853389069061</v>
      </c>
    </row>
    <row r="22" spans="1:10" x14ac:dyDescent="0.2">
      <c r="A22" s="17"/>
      <c r="B22" s="342">
        <v>13</v>
      </c>
      <c r="C22" s="44">
        <v>2200</v>
      </c>
      <c r="D22" s="500">
        <f t="shared" si="0"/>
        <v>0.34554737023254406</v>
      </c>
      <c r="E22" s="500">
        <f t="shared" si="1"/>
        <v>0.63515854777837544</v>
      </c>
    </row>
    <row r="23" spans="1:10" x14ac:dyDescent="0.2">
      <c r="A23" s="17"/>
      <c r="B23" s="449">
        <v>14</v>
      </c>
      <c r="C23" s="45">
        <v>2300</v>
      </c>
      <c r="D23" s="501">
        <f t="shared" si="0"/>
        <v>0.51832105534881612</v>
      </c>
      <c r="E23" s="501">
        <f t="shared" si="1"/>
        <v>0.69788285760250246</v>
      </c>
      <c r="J23" s="1"/>
    </row>
    <row r="24" spans="1:10" x14ac:dyDescent="0.2">
      <c r="A24" s="17"/>
      <c r="B24" s="342">
        <v>15</v>
      </c>
      <c r="C24" s="44">
        <v>2400</v>
      </c>
      <c r="D24" s="500">
        <f t="shared" si="0"/>
        <v>0.69109474046508812</v>
      </c>
      <c r="E24" s="500">
        <f t="shared" si="1"/>
        <v>0.7552469973408662</v>
      </c>
    </row>
    <row r="25" spans="1:10" x14ac:dyDescent="0.2">
      <c r="A25" s="17"/>
      <c r="B25" s="449">
        <v>16</v>
      </c>
      <c r="C25" s="45">
        <v>2500</v>
      </c>
      <c r="D25" s="501">
        <f t="shared" si="0"/>
        <v>0.86386842558136023</v>
      </c>
      <c r="E25" s="501">
        <f t="shared" si="1"/>
        <v>0.80616991318266051</v>
      </c>
    </row>
    <row r="26" spans="1:10" x14ac:dyDescent="0.2">
      <c r="A26" s="17"/>
      <c r="B26" s="342">
        <v>17</v>
      </c>
      <c r="C26" s="44">
        <v>2600</v>
      </c>
      <c r="D26" s="500">
        <f t="shared" si="0"/>
        <v>1.0366421106976322</v>
      </c>
      <c r="E26" s="500">
        <f t="shared" si="1"/>
        <v>0.8500486599165209</v>
      </c>
    </row>
    <row r="27" spans="1:10" x14ac:dyDescent="0.2">
      <c r="A27" s="17"/>
      <c r="B27" s="449">
        <v>18</v>
      </c>
      <c r="C27" s="45">
        <v>2700</v>
      </c>
      <c r="D27" s="501">
        <f t="shared" si="0"/>
        <v>1.2094157958139042</v>
      </c>
      <c r="E27" s="501">
        <f t="shared" si="1"/>
        <v>0.88674842843163981</v>
      </c>
    </row>
    <row r="28" spans="1:10" x14ac:dyDescent="0.2">
      <c r="A28" s="17"/>
      <c r="B28" s="342">
        <v>19</v>
      </c>
      <c r="C28" s="44">
        <v>2800</v>
      </c>
      <c r="D28" s="500">
        <f t="shared" si="0"/>
        <v>1.3821894809301762</v>
      </c>
      <c r="E28" s="500">
        <f t="shared" si="1"/>
        <v>0.91654323544589356</v>
      </c>
    </row>
    <row r="29" spans="1:10" x14ac:dyDescent="0.2">
      <c r="A29" s="17"/>
      <c r="B29" s="449">
        <v>20</v>
      </c>
      <c r="C29" s="45">
        <v>2900</v>
      </c>
      <c r="D29" s="501">
        <f t="shared" si="0"/>
        <v>1.5549631660464482</v>
      </c>
      <c r="E29" s="501">
        <f t="shared" si="1"/>
        <v>0.94002257898542008</v>
      </c>
    </row>
    <row r="30" spans="1:10" x14ac:dyDescent="0.2">
      <c r="A30" s="17"/>
      <c r="B30" s="342">
        <v>21</v>
      </c>
      <c r="C30" s="44">
        <v>3000</v>
      </c>
      <c r="D30" s="500">
        <f t="shared" si="0"/>
        <v>1.7277368511627205</v>
      </c>
      <c r="E30" s="500">
        <f t="shared" si="1"/>
        <v>0.95798229324077833</v>
      </c>
    </row>
    <row r="31" spans="1:10" x14ac:dyDescent="0.2">
      <c r="A31" s="17"/>
      <c r="B31" s="449">
        <v>22</v>
      </c>
      <c r="C31" s="45">
        <v>2900</v>
      </c>
      <c r="D31" s="501">
        <f t="shared" si="0"/>
        <v>1.5549631660464482</v>
      </c>
      <c r="E31" s="501">
        <f t="shared" si="1"/>
        <v>0.94002257898542008</v>
      </c>
    </row>
    <row r="32" spans="1:10" x14ac:dyDescent="0.2">
      <c r="A32" s="17"/>
      <c r="B32" s="342">
        <v>23</v>
      </c>
      <c r="C32" s="44">
        <v>2800</v>
      </c>
      <c r="D32" s="500">
        <f t="shared" si="0"/>
        <v>1.3821894809301762</v>
      </c>
      <c r="E32" s="500">
        <f t="shared" si="1"/>
        <v>0.91654323544589356</v>
      </c>
    </row>
    <row r="33" spans="1:5" x14ac:dyDescent="0.2">
      <c r="A33" s="17"/>
      <c r="B33" s="449">
        <v>24</v>
      </c>
      <c r="C33" s="45">
        <v>2700</v>
      </c>
      <c r="D33" s="501">
        <f t="shared" si="0"/>
        <v>1.2094157958139042</v>
      </c>
      <c r="E33" s="501">
        <f t="shared" si="1"/>
        <v>0.88674842843163981</v>
      </c>
    </row>
    <row r="34" spans="1:5" x14ac:dyDescent="0.2">
      <c r="A34" s="17"/>
      <c r="B34" s="342">
        <v>25</v>
      </c>
      <c r="C34" s="44">
        <v>2600</v>
      </c>
      <c r="D34" s="500">
        <f t="shared" si="0"/>
        <v>1.0366421106976322</v>
      </c>
      <c r="E34" s="500">
        <f t="shared" si="1"/>
        <v>0.8500486599165209</v>
      </c>
    </row>
    <row r="35" spans="1:5" x14ac:dyDescent="0.2">
      <c r="A35" s="17"/>
      <c r="B35" s="449">
        <v>26</v>
      </c>
      <c r="C35" s="45">
        <v>2500</v>
      </c>
      <c r="D35" s="501">
        <f t="shared" si="0"/>
        <v>0.86386842558136023</v>
      </c>
      <c r="E35" s="501">
        <f t="shared" si="1"/>
        <v>0.80616991318266051</v>
      </c>
    </row>
    <row r="36" spans="1:5" x14ac:dyDescent="0.2">
      <c r="A36" s="17"/>
      <c r="B36" s="342">
        <v>27</v>
      </c>
      <c r="C36" s="44">
        <v>2400</v>
      </c>
      <c r="D36" s="500">
        <f t="shared" si="0"/>
        <v>0.69109474046508812</v>
      </c>
      <c r="E36" s="500">
        <f t="shared" si="1"/>
        <v>0.7552469973408662</v>
      </c>
    </row>
    <row r="37" spans="1:5" x14ac:dyDescent="0.2">
      <c r="A37" s="17"/>
      <c r="B37" s="449">
        <v>28</v>
      </c>
      <c r="C37" s="45">
        <v>2300</v>
      </c>
      <c r="D37" s="501">
        <f t="shared" si="0"/>
        <v>0.51832105534881612</v>
      </c>
      <c r="E37" s="501">
        <f t="shared" si="1"/>
        <v>0.69788285760250246</v>
      </c>
    </row>
    <row r="38" spans="1:5" x14ac:dyDescent="0.2">
      <c r="A38" s="17"/>
      <c r="B38" s="342">
        <v>29</v>
      </c>
      <c r="C38" s="44">
        <v>2200</v>
      </c>
      <c r="D38" s="500">
        <f t="shared" si="0"/>
        <v>0.34554737023254406</v>
      </c>
      <c r="E38" s="500">
        <f t="shared" si="1"/>
        <v>0.63515854777837544</v>
      </c>
    </row>
    <row r="39" spans="1:5" x14ac:dyDescent="0.2">
      <c r="A39" s="17"/>
      <c r="B39" s="449">
        <v>30</v>
      </c>
      <c r="C39" s="45">
        <v>2100</v>
      </c>
      <c r="D39" s="501">
        <f t="shared" si="0"/>
        <v>0.17277368511627203</v>
      </c>
      <c r="E39" s="501">
        <f t="shared" si="1"/>
        <v>0.5685853389069061</v>
      </c>
    </row>
    <row r="40" spans="1:5" x14ac:dyDescent="0.2">
      <c r="A40" s="17"/>
      <c r="B40" s="342">
        <v>31</v>
      </c>
      <c r="C40" s="44">
        <v>2000</v>
      </c>
      <c r="D40" s="500">
        <f t="shared" si="0"/>
        <v>0</v>
      </c>
      <c r="E40" s="500">
        <f t="shared" si="1"/>
        <v>0.5</v>
      </c>
    </row>
    <row r="41" spans="1:5" x14ac:dyDescent="0.2">
      <c r="A41" s="17"/>
      <c r="B41" s="449">
        <v>32</v>
      </c>
      <c r="C41" s="45">
        <v>1900</v>
      </c>
      <c r="D41" s="501">
        <f t="shared" si="0"/>
        <v>-0.17277368511627203</v>
      </c>
      <c r="E41" s="501">
        <f t="shared" si="1"/>
        <v>0.4314146610930939</v>
      </c>
    </row>
    <row r="42" spans="1:5" x14ac:dyDescent="0.2">
      <c r="A42" s="17"/>
      <c r="B42" s="342">
        <v>33</v>
      </c>
      <c r="C42" s="44">
        <v>1800</v>
      </c>
      <c r="D42" s="500">
        <f t="shared" si="0"/>
        <v>-0.34554737023254406</v>
      </c>
      <c r="E42" s="500">
        <f t="shared" si="1"/>
        <v>0.36484145222162456</v>
      </c>
    </row>
    <row r="43" spans="1:5" x14ac:dyDescent="0.2">
      <c r="A43" s="17"/>
      <c r="B43" s="449">
        <v>34</v>
      </c>
      <c r="C43" s="45">
        <v>1700</v>
      </c>
      <c r="D43" s="501">
        <f t="shared" si="0"/>
        <v>-0.51832105534881612</v>
      </c>
      <c r="E43" s="501">
        <f t="shared" si="1"/>
        <v>0.30211714239749754</v>
      </c>
    </row>
    <row r="44" spans="1:5" x14ac:dyDescent="0.2">
      <c r="A44" s="17"/>
      <c r="B44" s="342">
        <v>35</v>
      </c>
      <c r="C44" s="44">
        <v>1600</v>
      </c>
      <c r="D44" s="500">
        <f t="shared" si="0"/>
        <v>-0.69109474046508812</v>
      </c>
      <c r="E44" s="500">
        <f t="shared" si="1"/>
        <v>0.24475300265913386</v>
      </c>
    </row>
    <row r="45" spans="1:5" x14ac:dyDescent="0.2">
      <c r="A45" s="17"/>
      <c r="B45" s="449">
        <v>36</v>
      </c>
      <c r="C45" s="45">
        <v>1500</v>
      </c>
      <c r="D45" s="501">
        <f t="shared" si="0"/>
        <v>-0.86386842558136023</v>
      </c>
      <c r="E45" s="501">
        <f t="shared" si="1"/>
        <v>0.19383008681733954</v>
      </c>
    </row>
    <row r="46" spans="1:5" x14ac:dyDescent="0.2">
      <c r="A46" s="17"/>
      <c r="B46" s="342">
        <v>37</v>
      </c>
      <c r="C46" s="44">
        <v>1400</v>
      </c>
      <c r="D46" s="500">
        <f t="shared" si="0"/>
        <v>-1.0366421106976322</v>
      </c>
      <c r="E46" s="500">
        <f t="shared" si="1"/>
        <v>0.14995134008347907</v>
      </c>
    </row>
    <row r="47" spans="1:5" x14ac:dyDescent="0.2">
      <c r="A47" s="17"/>
      <c r="B47" s="449">
        <v>38</v>
      </c>
      <c r="C47" s="45">
        <v>1300</v>
      </c>
      <c r="D47" s="501">
        <f t="shared" si="0"/>
        <v>-1.2094157958139042</v>
      </c>
      <c r="E47" s="501">
        <f t="shared" si="1"/>
        <v>0.11325157156836017</v>
      </c>
    </row>
    <row r="48" spans="1:5" x14ac:dyDescent="0.2">
      <c r="A48" s="17"/>
      <c r="B48" s="342">
        <v>39</v>
      </c>
      <c r="C48" s="44">
        <v>1200</v>
      </c>
      <c r="D48" s="500">
        <f t="shared" si="0"/>
        <v>-1.3821894809301762</v>
      </c>
      <c r="E48" s="500">
        <f t="shared" si="1"/>
        <v>8.3456764554106444E-2</v>
      </c>
    </row>
    <row r="49" spans="1:5" ht="13.5" thickBot="1" x14ac:dyDescent="0.25">
      <c r="A49" s="17"/>
      <c r="B49" s="56">
        <v>40</v>
      </c>
      <c r="C49" s="46">
        <v>1100</v>
      </c>
      <c r="D49" s="502">
        <f t="shared" si="0"/>
        <v>-1.5549631660464482</v>
      </c>
      <c r="E49" s="501">
        <f t="shared" si="1"/>
        <v>5.9977421014579896E-2</v>
      </c>
    </row>
  </sheetData>
  <mergeCells count="2">
    <mergeCell ref="D4:G4"/>
    <mergeCell ref="C5:G5"/>
  </mergeCells>
  <phoneticPr fontId="5" type="noConversion"/>
  <pageMargins left="0.78740157499999996" right="0.78740157499999996" top="0.984251969" bottom="0.984251969" header="0.4921259845" footer="0.4921259845"/>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6"/>
  <sheetViews>
    <sheetView topLeftCell="B1" workbookViewId="0">
      <selection activeCell="J31" sqref="J31"/>
    </sheetView>
  </sheetViews>
  <sheetFormatPr baseColWidth="10" defaultRowHeight="12.75" x14ac:dyDescent="0.2"/>
  <cols>
    <col min="1" max="1" width="4" customWidth="1"/>
    <col min="2" max="2" width="40.85546875" customWidth="1"/>
    <col min="3" max="3" width="15.5703125" customWidth="1"/>
    <col min="4" max="4" width="20.5703125" customWidth="1"/>
    <col min="5" max="5" width="30.140625" customWidth="1"/>
    <col min="6" max="6" width="20" customWidth="1"/>
  </cols>
  <sheetData>
    <row r="1" spans="1:6" ht="18" customHeight="1" x14ac:dyDescent="0.25">
      <c r="B1" s="10" t="s">
        <v>8</v>
      </c>
      <c r="C1" s="11"/>
      <c r="D1" s="12" t="s">
        <v>516</v>
      </c>
      <c r="E1" s="11"/>
      <c r="F1" s="11"/>
    </row>
    <row r="2" spans="1:6" ht="18" customHeight="1" x14ac:dyDescent="0.25">
      <c r="B2" s="10" t="s">
        <v>16</v>
      </c>
      <c r="C2" s="11"/>
      <c r="D2" s="12" t="s">
        <v>517</v>
      </c>
      <c r="E2" s="11"/>
      <c r="F2" s="11"/>
    </row>
    <row r="3" spans="1:6" ht="18" customHeight="1" x14ac:dyDescent="0.2">
      <c r="B3" s="10" t="s">
        <v>17</v>
      </c>
      <c r="C3" s="11"/>
      <c r="D3" s="10" t="s">
        <v>18</v>
      </c>
      <c r="E3" s="11"/>
      <c r="F3" s="11"/>
    </row>
    <row r="4" spans="1:6" ht="18" customHeight="1" x14ac:dyDescent="0.2">
      <c r="B4" s="10" t="s">
        <v>19</v>
      </c>
      <c r="C4" s="11"/>
      <c r="D4" s="612" t="s">
        <v>518</v>
      </c>
      <c r="E4" s="640"/>
      <c r="F4" s="640"/>
    </row>
    <row r="5" spans="1:6" ht="52.5" customHeight="1" x14ac:dyDescent="0.25">
      <c r="B5" s="576" t="s">
        <v>1</v>
      </c>
      <c r="C5" s="11"/>
      <c r="D5" s="14"/>
      <c r="E5" s="11"/>
      <c r="F5" s="11"/>
    </row>
    <row r="6" spans="1:6" ht="105" customHeight="1" x14ac:dyDescent="0.2">
      <c r="B6" s="13" t="s">
        <v>20</v>
      </c>
      <c r="C6" s="611" t="s">
        <v>519</v>
      </c>
      <c r="D6" s="635"/>
      <c r="E6" s="635"/>
      <c r="F6" s="635"/>
    </row>
    <row r="8" spans="1:6" x14ac:dyDescent="0.2">
      <c r="B8" s="38" t="s">
        <v>384</v>
      </c>
    </row>
    <row r="9" spans="1:6" ht="13.5" thickBot="1" x14ac:dyDescent="0.25">
      <c r="B9" s="22"/>
      <c r="C9" s="22"/>
      <c r="D9" s="22"/>
      <c r="E9" s="22"/>
    </row>
    <row r="10" spans="1:6" ht="18" customHeight="1" thickBot="1" x14ac:dyDescent="0.25">
      <c r="A10" s="17"/>
      <c r="B10" s="28" t="s">
        <v>5</v>
      </c>
      <c r="C10" s="30" t="s">
        <v>0</v>
      </c>
      <c r="D10" s="31" t="s">
        <v>9</v>
      </c>
      <c r="E10" s="29"/>
    </row>
    <row r="11" spans="1:6" x14ac:dyDescent="0.2">
      <c r="A11" s="17"/>
      <c r="B11" s="24" t="s">
        <v>21</v>
      </c>
      <c r="C11" s="32">
        <v>2600</v>
      </c>
      <c r="D11" s="23"/>
      <c r="E11" s="17"/>
    </row>
    <row r="12" spans="1:6" x14ac:dyDescent="0.2">
      <c r="A12" s="17"/>
      <c r="B12" s="25" t="s">
        <v>6</v>
      </c>
      <c r="C12" s="33">
        <v>2000</v>
      </c>
      <c r="D12" s="18"/>
      <c r="E12" s="18"/>
    </row>
    <row r="13" spans="1:6" x14ac:dyDescent="0.2">
      <c r="A13" s="17"/>
      <c r="B13" s="26" t="s">
        <v>7</v>
      </c>
      <c r="C13" s="34">
        <v>579</v>
      </c>
      <c r="D13" s="19"/>
      <c r="E13" s="19"/>
    </row>
    <row r="14" spans="1:6" x14ac:dyDescent="0.2">
      <c r="A14" s="17"/>
      <c r="B14" s="25" t="s">
        <v>2</v>
      </c>
      <c r="C14" s="33" t="b">
        <v>1</v>
      </c>
      <c r="D14" s="36">
        <f>_xlfn.NORM.DIST(C11,C12,C13,C14)</f>
        <v>0.84996176816915525</v>
      </c>
      <c r="E14" s="20" t="s">
        <v>520</v>
      </c>
    </row>
    <row r="15" spans="1:6" ht="13.5" thickBot="1" x14ac:dyDescent="0.25">
      <c r="A15" s="17"/>
      <c r="B15" s="27" t="s">
        <v>3</v>
      </c>
      <c r="C15" s="35" t="b">
        <v>0</v>
      </c>
      <c r="D15" s="37">
        <f>_xlfn.NORM.DIST(C11,C12,C13,C15)</f>
        <v>4.0276061634781984E-4</v>
      </c>
      <c r="E15" s="21" t="s">
        <v>521</v>
      </c>
    </row>
    <row r="16" spans="1:6" x14ac:dyDescent="0.2">
      <c r="A16" s="1"/>
      <c r="B16" s="6"/>
      <c r="C16" s="39"/>
      <c r="D16" s="40"/>
      <c r="E16" s="7"/>
    </row>
    <row r="17" spans="1:5" x14ac:dyDescent="0.2">
      <c r="A17" s="1"/>
      <c r="B17" s="41" t="s">
        <v>4</v>
      </c>
      <c r="C17" s="39"/>
      <c r="D17" s="40"/>
      <c r="E17" s="7"/>
    </row>
    <row r="18" spans="1:5" x14ac:dyDescent="0.2">
      <c r="A18" s="1"/>
      <c r="B18" s="1" t="str">
        <f>"Die Wahrscheinlichkeit, dass die Glühbirne bis zu "&amp;C11&amp;" Stunden brennt,"&amp;" beträgt "&amp;TEXT(D14,"#%")</f>
        <v>Die Wahrscheinlichkeit, dass die Glühbirne bis zu 2600 Stunden brennt, beträgt 85%</v>
      </c>
      <c r="C18" s="39"/>
      <c r="D18" s="40"/>
      <c r="E18" s="7"/>
    </row>
    <row r="19" spans="1:5" x14ac:dyDescent="0.2">
      <c r="A19" s="1"/>
      <c r="B19" s="1" t="str">
        <f>"Die Wahrscheinlichkeit, dass die Glühbirne genau "&amp;C11&amp;" Stunden brennt,"&amp;" beträgt "&amp;TEXT(D15,"0,##%")</f>
        <v>Die Wahrscheinlichkeit, dass die Glühbirne genau 2600 Stunden brennt, beträgt 0,04%</v>
      </c>
      <c r="C19" s="39"/>
      <c r="D19" s="40"/>
      <c r="E19" s="7"/>
    </row>
    <row r="20" spans="1:5" x14ac:dyDescent="0.2">
      <c r="A20" s="1"/>
      <c r="B20" s="6"/>
      <c r="C20" s="39"/>
      <c r="D20" s="40"/>
      <c r="E20" s="7"/>
    </row>
    <row r="21" spans="1:5" x14ac:dyDescent="0.2">
      <c r="A21" s="1"/>
      <c r="B21" s="38" t="s">
        <v>385</v>
      </c>
    </row>
    <row r="22" spans="1:5" ht="13.5" thickBot="1" x14ac:dyDescent="0.25">
      <c r="A22" s="1"/>
      <c r="B22" s="22"/>
      <c r="C22" s="22"/>
      <c r="D22" s="22"/>
      <c r="E22" s="22"/>
    </row>
    <row r="23" spans="1:5" ht="13.5" thickBot="1" x14ac:dyDescent="0.25">
      <c r="A23" s="1"/>
      <c r="B23" s="28" t="s">
        <v>5</v>
      </c>
      <c r="C23" s="30" t="s">
        <v>0</v>
      </c>
      <c r="D23" s="31" t="s">
        <v>9</v>
      </c>
      <c r="E23" s="29"/>
    </row>
    <row r="24" spans="1:5" x14ac:dyDescent="0.2">
      <c r="A24" s="1"/>
      <c r="B24" s="24" t="s">
        <v>21</v>
      </c>
      <c r="C24" s="32">
        <v>1400</v>
      </c>
      <c r="D24" s="23"/>
      <c r="E24" s="17"/>
    </row>
    <row r="25" spans="1:5" x14ac:dyDescent="0.2">
      <c r="A25" s="1"/>
      <c r="B25" s="25" t="s">
        <v>6</v>
      </c>
      <c r="C25" s="33">
        <v>2000</v>
      </c>
      <c r="D25" s="18"/>
      <c r="E25" s="18"/>
    </row>
    <row r="26" spans="1:5" x14ac:dyDescent="0.2">
      <c r="A26" s="1"/>
      <c r="B26" s="26" t="s">
        <v>7</v>
      </c>
      <c r="C26" s="34">
        <v>579</v>
      </c>
      <c r="D26" s="19"/>
      <c r="E26" s="19"/>
    </row>
    <row r="27" spans="1:5" x14ac:dyDescent="0.2">
      <c r="B27" s="25" t="s">
        <v>2</v>
      </c>
      <c r="C27" s="33" t="b">
        <v>1</v>
      </c>
      <c r="D27" s="36">
        <f>NORMDIST(C24,C25,C26,C27)</f>
        <v>0.15003823183084475</v>
      </c>
      <c r="E27" s="20" t="s">
        <v>522</v>
      </c>
    </row>
    <row r="28" spans="1:5" ht="13.5" thickBot="1" x14ac:dyDescent="0.25">
      <c r="B28" s="27" t="s">
        <v>3</v>
      </c>
      <c r="C28" s="35" t="b">
        <v>0</v>
      </c>
      <c r="D28" s="37">
        <f>NORMDIST(C24,C25,C26,C28)</f>
        <v>4.0276061634781984E-4</v>
      </c>
      <c r="E28" s="21" t="s">
        <v>523</v>
      </c>
    </row>
    <row r="29" spans="1:5" x14ac:dyDescent="0.2">
      <c r="B29" s="6"/>
      <c r="C29" s="39"/>
      <c r="D29" s="40"/>
      <c r="E29" s="7"/>
    </row>
    <row r="30" spans="1:5" x14ac:dyDescent="0.2">
      <c r="B30" s="41" t="s">
        <v>4</v>
      </c>
      <c r="C30" s="39"/>
      <c r="D30" s="40"/>
      <c r="E30" s="7"/>
    </row>
    <row r="31" spans="1:5" x14ac:dyDescent="0.2">
      <c r="B31" s="1" t="str">
        <f>"Die Wahrscheinlichkeit, dass die Glühbirne nur bis zu "&amp;C24&amp;" Stunden brennt,"&amp;" beträgt "&amp;TEXT(D27,"#%")</f>
        <v>Die Wahrscheinlichkeit, dass die Glühbirne nur bis zu 1400 Stunden brennt, beträgt 15%</v>
      </c>
      <c r="C31" s="1"/>
      <c r="D31" s="1"/>
      <c r="E31" s="1"/>
    </row>
    <row r="32" spans="1:5" x14ac:dyDescent="0.2">
      <c r="B32" s="1" t="str">
        <f>"Die Wahrscheinlichkeit, dass die Glühbirne genau "&amp;C24&amp;" Stunden brennt,"&amp;" beträgt "&amp;TEXT(D28,"0,##%")</f>
        <v>Die Wahrscheinlichkeit, dass die Glühbirne genau 1400 Stunden brennt, beträgt 0,04%</v>
      </c>
      <c r="C32" s="1"/>
      <c r="D32" s="1"/>
      <c r="E32" s="1"/>
    </row>
    <row r="33" spans="2:5" x14ac:dyDescent="0.2">
      <c r="B33" s="1"/>
      <c r="C33" s="1"/>
      <c r="D33" s="2"/>
      <c r="E33" s="3"/>
    </row>
    <row r="34" spans="2:5" x14ac:dyDescent="0.2">
      <c r="B34" s="1"/>
      <c r="C34" s="1"/>
      <c r="D34" s="2"/>
      <c r="E34" s="3"/>
    </row>
    <row r="35" spans="2:5" ht="13.5" thickBot="1" x14ac:dyDescent="0.25">
      <c r="B35" s="1"/>
      <c r="C35" s="22"/>
      <c r="D35" s="47"/>
      <c r="E35" s="3"/>
    </row>
    <row r="36" spans="2:5" ht="18.75" customHeight="1" thickBot="1" x14ac:dyDescent="0.25">
      <c r="B36" s="52" t="s">
        <v>22</v>
      </c>
      <c r="C36" s="48" t="s">
        <v>6</v>
      </c>
      <c r="D36" s="51" t="s">
        <v>7</v>
      </c>
      <c r="E36" s="1"/>
    </row>
    <row r="37" spans="2:5" ht="13.5" thickBot="1" x14ac:dyDescent="0.25">
      <c r="B37" s="44">
        <v>1000</v>
      </c>
      <c r="C37" s="49">
        <f>AVERAGE(B37:B77)</f>
        <v>2000</v>
      </c>
      <c r="D37" s="50">
        <f>STDEVP(B37:B76)</f>
        <v>578.79184513951122</v>
      </c>
      <c r="E37" s="53"/>
    </row>
    <row r="38" spans="2:5" x14ac:dyDescent="0.2">
      <c r="B38" s="45">
        <v>1100</v>
      </c>
    </row>
    <row r="39" spans="2:5" x14ac:dyDescent="0.2">
      <c r="B39" s="44">
        <v>1200</v>
      </c>
    </row>
    <row r="40" spans="2:5" x14ac:dyDescent="0.2">
      <c r="B40" s="45">
        <v>1300</v>
      </c>
    </row>
    <row r="41" spans="2:5" x14ac:dyDescent="0.2">
      <c r="B41" s="44">
        <v>1400</v>
      </c>
    </row>
    <row r="42" spans="2:5" x14ac:dyDescent="0.2">
      <c r="B42" s="45">
        <v>1500</v>
      </c>
    </row>
    <row r="43" spans="2:5" x14ac:dyDescent="0.2">
      <c r="B43" s="44">
        <v>1600</v>
      </c>
    </row>
    <row r="44" spans="2:5" x14ac:dyDescent="0.2">
      <c r="B44" s="45">
        <v>1700</v>
      </c>
    </row>
    <row r="45" spans="2:5" x14ac:dyDescent="0.2">
      <c r="B45" s="44">
        <v>1800</v>
      </c>
    </row>
    <row r="46" spans="2:5" x14ac:dyDescent="0.2">
      <c r="B46" s="45">
        <v>1900</v>
      </c>
    </row>
    <row r="47" spans="2:5" x14ac:dyDescent="0.2">
      <c r="B47" s="44">
        <v>2000</v>
      </c>
    </row>
    <row r="48" spans="2:5" x14ac:dyDescent="0.2">
      <c r="B48" s="45">
        <v>2100</v>
      </c>
    </row>
    <row r="49" spans="2:2" x14ac:dyDescent="0.2">
      <c r="B49" s="44">
        <v>2200</v>
      </c>
    </row>
    <row r="50" spans="2:2" x14ac:dyDescent="0.2">
      <c r="B50" s="45">
        <v>2300</v>
      </c>
    </row>
    <row r="51" spans="2:2" x14ac:dyDescent="0.2">
      <c r="B51" s="44">
        <v>2400</v>
      </c>
    </row>
    <row r="52" spans="2:2" x14ac:dyDescent="0.2">
      <c r="B52" s="45">
        <v>2500</v>
      </c>
    </row>
    <row r="53" spans="2:2" x14ac:dyDescent="0.2">
      <c r="B53" s="44">
        <v>2600</v>
      </c>
    </row>
    <row r="54" spans="2:2" x14ac:dyDescent="0.2">
      <c r="B54" s="45">
        <v>2700</v>
      </c>
    </row>
    <row r="55" spans="2:2" x14ac:dyDescent="0.2">
      <c r="B55" s="44">
        <v>2800</v>
      </c>
    </row>
    <row r="56" spans="2:2" x14ac:dyDescent="0.2">
      <c r="B56" s="45">
        <v>2900</v>
      </c>
    </row>
    <row r="57" spans="2:2" x14ac:dyDescent="0.2">
      <c r="B57" s="44">
        <v>3000</v>
      </c>
    </row>
    <row r="58" spans="2:2" x14ac:dyDescent="0.2">
      <c r="B58" s="45">
        <v>2900</v>
      </c>
    </row>
    <row r="59" spans="2:2" x14ac:dyDescent="0.2">
      <c r="B59" s="44">
        <v>2800</v>
      </c>
    </row>
    <row r="60" spans="2:2" x14ac:dyDescent="0.2">
      <c r="B60" s="45">
        <v>2700</v>
      </c>
    </row>
    <row r="61" spans="2:2" x14ac:dyDescent="0.2">
      <c r="B61" s="44">
        <v>2600</v>
      </c>
    </row>
    <row r="62" spans="2:2" x14ac:dyDescent="0.2">
      <c r="B62" s="45">
        <v>2500</v>
      </c>
    </row>
    <row r="63" spans="2:2" x14ac:dyDescent="0.2">
      <c r="B63" s="44">
        <v>2400</v>
      </c>
    </row>
    <row r="64" spans="2:2" x14ac:dyDescent="0.2">
      <c r="B64" s="45">
        <v>2300</v>
      </c>
    </row>
    <row r="65" spans="2:2" x14ac:dyDescent="0.2">
      <c r="B65" s="44">
        <v>2200</v>
      </c>
    </row>
    <row r="66" spans="2:2" x14ac:dyDescent="0.2">
      <c r="B66" s="45">
        <v>2100</v>
      </c>
    </row>
    <row r="67" spans="2:2" x14ac:dyDescent="0.2">
      <c r="B67" s="44">
        <v>2000</v>
      </c>
    </row>
    <row r="68" spans="2:2" x14ac:dyDescent="0.2">
      <c r="B68" s="45">
        <v>1900</v>
      </c>
    </row>
    <row r="69" spans="2:2" x14ac:dyDescent="0.2">
      <c r="B69" s="44">
        <v>1800</v>
      </c>
    </row>
    <row r="70" spans="2:2" x14ac:dyDescent="0.2">
      <c r="B70" s="45">
        <v>1700</v>
      </c>
    </row>
    <row r="71" spans="2:2" x14ac:dyDescent="0.2">
      <c r="B71" s="44">
        <v>1600</v>
      </c>
    </row>
    <row r="72" spans="2:2" x14ac:dyDescent="0.2">
      <c r="B72" s="45">
        <v>1500</v>
      </c>
    </row>
    <row r="73" spans="2:2" x14ac:dyDescent="0.2">
      <c r="B73" s="44">
        <v>1400</v>
      </c>
    </row>
    <row r="74" spans="2:2" x14ac:dyDescent="0.2">
      <c r="B74" s="45">
        <v>1300</v>
      </c>
    </row>
    <row r="75" spans="2:2" x14ac:dyDescent="0.2">
      <c r="B75" s="44">
        <v>1200</v>
      </c>
    </row>
    <row r="76" spans="2:2" ht="13.5" thickBot="1" x14ac:dyDescent="0.25">
      <c r="B76" s="46">
        <v>1100</v>
      </c>
    </row>
  </sheetData>
  <mergeCells count="2">
    <mergeCell ref="D4:F4"/>
    <mergeCell ref="C6:F6"/>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051" r:id="rId4">
          <objectPr defaultSize="0" r:id="rId5">
            <anchor moveWithCells="1">
              <from>
                <xdr:col>3</xdr:col>
                <xdr:colOff>38100</xdr:colOff>
                <xdr:row>4</xdr:row>
                <xdr:rowOff>19050</xdr:rowOff>
              </from>
              <to>
                <xdr:col>4</xdr:col>
                <xdr:colOff>409575</xdr:colOff>
                <xdr:row>4</xdr:row>
                <xdr:rowOff>542925</xdr:rowOff>
              </to>
            </anchor>
          </objectPr>
        </oleObject>
      </mc:Choice>
      <mc:Fallback>
        <oleObject progId="Equation.3" shapeId="2051" r:id="rId4"/>
      </mc:Fallback>
    </mc:AlternateContent>
  </oleObjec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topLeftCell="B1" workbookViewId="0">
      <selection activeCell="J6" sqref="J6"/>
    </sheetView>
  </sheetViews>
  <sheetFormatPr baseColWidth="10" defaultRowHeight="12.75" x14ac:dyDescent="0.2"/>
  <cols>
    <col min="1" max="1" width="3.85546875" customWidth="1"/>
    <col min="2" max="2" width="21.28515625" customWidth="1"/>
    <col min="3" max="3" width="15.7109375" customWidth="1"/>
    <col min="4" max="4" width="15" customWidth="1"/>
    <col min="5" max="5" width="13.42578125" customWidth="1"/>
    <col min="6" max="6" width="10.5703125" customWidth="1"/>
    <col min="7" max="7" width="12.28515625" customWidth="1"/>
    <col min="8" max="8" width="28.85546875" customWidth="1"/>
  </cols>
  <sheetData>
    <row r="1" spans="2:8" ht="18" customHeight="1" x14ac:dyDescent="0.2">
      <c r="B1" s="62" t="s">
        <v>8</v>
      </c>
      <c r="C1" s="439"/>
      <c r="D1" s="440" t="s">
        <v>532</v>
      </c>
      <c r="E1" s="441"/>
      <c r="F1" s="441"/>
      <c r="G1" s="441"/>
      <c r="H1" s="441"/>
    </row>
    <row r="2" spans="2:8" ht="18" customHeight="1" x14ac:dyDescent="0.2">
      <c r="B2" s="62" t="s">
        <v>16</v>
      </c>
      <c r="C2" s="439"/>
      <c r="D2" s="440" t="s">
        <v>533</v>
      </c>
      <c r="E2" s="441"/>
      <c r="F2" s="441"/>
      <c r="G2" s="441"/>
      <c r="H2" s="441"/>
    </row>
    <row r="3" spans="2:8" ht="18" customHeight="1" x14ac:dyDescent="0.2">
      <c r="B3" s="62" t="s">
        <v>17</v>
      </c>
      <c r="C3" s="439"/>
      <c r="D3" s="62" t="s">
        <v>18</v>
      </c>
      <c r="E3" s="441"/>
      <c r="F3" s="441"/>
      <c r="G3" s="441"/>
      <c r="H3" s="441"/>
    </row>
    <row r="4" spans="2:8" ht="18" customHeight="1" x14ac:dyDescent="0.2">
      <c r="B4" s="62" t="s">
        <v>19</v>
      </c>
      <c r="C4" s="439"/>
      <c r="D4" s="650" t="s">
        <v>534</v>
      </c>
      <c r="E4" s="651"/>
      <c r="F4" s="651"/>
      <c r="G4" s="651"/>
      <c r="H4" s="651"/>
    </row>
    <row r="5" spans="2:8" ht="96" customHeight="1" x14ac:dyDescent="0.2">
      <c r="B5" s="13" t="s">
        <v>20</v>
      </c>
      <c r="C5" s="611" t="s">
        <v>535</v>
      </c>
      <c r="D5" s="600"/>
      <c r="E5" s="600"/>
      <c r="F5" s="600"/>
      <c r="G5" s="600"/>
      <c r="H5" s="600"/>
    </row>
    <row r="7" spans="2:8" ht="13.5" thickBot="1" x14ac:dyDescent="0.25"/>
    <row r="8" spans="2:8" ht="26.25" thickBot="1" x14ac:dyDescent="0.25">
      <c r="C8" s="389" t="s">
        <v>275</v>
      </c>
      <c r="E8" s="481" t="s">
        <v>72</v>
      </c>
    </row>
    <row r="9" spans="2:8" s="321" customFormat="1" ht="15" customHeight="1" x14ac:dyDescent="0.2">
      <c r="B9" s="484" t="s">
        <v>276</v>
      </c>
      <c r="C9" s="487">
        <v>5</v>
      </c>
      <c r="E9" s="321" t="s">
        <v>291</v>
      </c>
    </row>
    <row r="10" spans="2:8" s="321" customFormat="1" ht="15" customHeight="1" x14ac:dyDescent="0.2">
      <c r="B10" s="485" t="s">
        <v>277</v>
      </c>
      <c r="C10" s="350">
        <v>3</v>
      </c>
    </row>
    <row r="11" spans="2:8" s="321" customFormat="1" ht="15" customHeight="1" x14ac:dyDescent="0.2">
      <c r="B11" s="486" t="s">
        <v>278</v>
      </c>
      <c r="C11" s="346">
        <v>6</v>
      </c>
      <c r="E11" s="481" t="s">
        <v>242</v>
      </c>
    </row>
    <row r="12" spans="2:8" s="321" customFormat="1" ht="15" customHeight="1" x14ac:dyDescent="0.2">
      <c r="B12" s="485" t="s">
        <v>279</v>
      </c>
      <c r="C12" s="350">
        <v>2</v>
      </c>
      <c r="E12" s="321" t="s">
        <v>386</v>
      </c>
    </row>
    <row r="13" spans="2:8" s="321" customFormat="1" ht="15" customHeight="1" x14ac:dyDescent="0.2">
      <c r="B13" s="486" t="s">
        <v>280</v>
      </c>
      <c r="C13" s="346">
        <v>3</v>
      </c>
    </row>
    <row r="14" spans="2:8" s="321" customFormat="1" ht="15" customHeight="1" thickBot="1" x14ac:dyDescent="0.25">
      <c r="B14" s="485" t="s">
        <v>281</v>
      </c>
      <c r="C14" s="350">
        <v>5</v>
      </c>
      <c r="E14" s="490" t="s">
        <v>292</v>
      </c>
      <c r="F14" s="491"/>
      <c r="G14" s="491"/>
      <c r="H14" s="491"/>
    </row>
    <row r="15" spans="2:8" s="321" customFormat="1" ht="15" customHeight="1" x14ac:dyDescent="0.2">
      <c r="B15" s="486" t="s">
        <v>282</v>
      </c>
      <c r="C15" s="346">
        <v>4</v>
      </c>
      <c r="D15" s="486"/>
      <c r="E15" s="321" t="s">
        <v>293</v>
      </c>
      <c r="G15" s="380"/>
      <c r="H15" s="492">
        <v>3</v>
      </c>
    </row>
    <row r="16" spans="2:8" s="321" customFormat="1" ht="15" customHeight="1" x14ac:dyDescent="0.2">
      <c r="B16" s="485" t="s">
        <v>283</v>
      </c>
      <c r="C16" s="350">
        <v>2</v>
      </c>
      <c r="D16" s="486"/>
      <c r="E16" s="482" t="s">
        <v>294</v>
      </c>
      <c r="F16" s="482"/>
      <c r="G16" s="493"/>
      <c r="H16" s="351">
        <v>4</v>
      </c>
    </row>
    <row r="17" spans="2:8" s="321" customFormat="1" ht="15" customHeight="1" x14ac:dyDescent="0.2">
      <c r="B17" s="486" t="s">
        <v>284</v>
      </c>
      <c r="C17" s="346">
        <v>3</v>
      </c>
      <c r="D17" s="486"/>
      <c r="E17" s="321" t="s">
        <v>295</v>
      </c>
      <c r="G17" s="284"/>
      <c r="H17" s="347" t="b">
        <v>0</v>
      </c>
    </row>
    <row r="18" spans="2:8" s="321" customFormat="1" ht="15" customHeight="1" thickBot="1" x14ac:dyDescent="0.25">
      <c r="B18" s="485" t="s">
        <v>285</v>
      </c>
      <c r="C18" s="350">
        <v>4</v>
      </c>
      <c r="D18" s="486"/>
      <c r="E18" s="494" t="s">
        <v>532</v>
      </c>
      <c r="F18" s="495"/>
      <c r="G18" s="495"/>
      <c r="H18" s="496">
        <f>_xlfn.POISSON.DIST(H15,H16,H17)</f>
        <v>0.19536681481316462</v>
      </c>
    </row>
    <row r="19" spans="2:8" s="321" customFormat="1" ht="15" customHeight="1" x14ac:dyDescent="0.2">
      <c r="B19" s="486" t="s">
        <v>286</v>
      </c>
      <c r="C19" s="346">
        <v>5</v>
      </c>
      <c r="H19" s="585" t="s">
        <v>536</v>
      </c>
    </row>
    <row r="20" spans="2:8" s="321" customFormat="1" ht="15" customHeight="1" x14ac:dyDescent="0.2">
      <c r="B20" s="485" t="s">
        <v>287</v>
      </c>
      <c r="C20" s="350">
        <v>6</v>
      </c>
    </row>
    <row r="21" spans="2:8" s="321" customFormat="1" ht="15" customHeight="1" x14ac:dyDescent="0.2">
      <c r="B21" s="486" t="s">
        <v>288</v>
      </c>
      <c r="C21" s="346">
        <v>3</v>
      </c>
    </row>
    <row r="22" spans="2:8" s="321" customFormat="1" ht="15" customHeight="1" x14ac:dyDescent="0.2">
      <c r="B22" s="485" t="s">
        <v>289</v>
      </c>
      <c r="C22" s="350">
        <v>7</v>
      </c>
      <c r="E22" s="481" t="s">
        <v>242</v>
      </c>
    </row>
    <row r="23" spans="2:8" s="321" customFormat="1" ht="15" customHeight="1" x14ac:dyDescent="0.2">
      <c r="B23" s="486" t="s">
        <v>290</v>
      </c>
      <c r="C23" s="346">
        <v>2</v>
      </c>
      <c r="E23" s="321" t="s">
        <v>387</v>
      </c>
    </row>
    <row r="24" spans="2:8" s="321" customFormat="1" ht="15" customHeight="1" thickBot="1" x14ac:dyDescent="0.25">
      <c r="B24" s="489" t="s">
        <v>6</v>
      </c>
      <c r="C24" s="488">
        <f>AVERAGE(C9:C23)</f>
        <v>4</v>
      </c>
    </row>
    <row r="25" spans="2:8" ht="13.5" thickBot="1" x14ac:dyDescent="0.25">
      <c r="E25" s="490" t="s">
        <v>292</v>
      </c>
      <c r="F25" s="491"/>
      <c r="G25" s="491"/>
      <c r="H25" s="491"/>
    </row>
    <row r="26" spans="2:8" x14ac:dyDescent="0.2">
      <c r="D26" s="17"/>
      <c r="E26" s="321" t="s">
        <v>293</v>
      </c>
      <c r="F26" s="321"/>
      <c r="G26" s="380"/>
      <c r="H26" s="492">
        <v>3</v>
      </c>
    </row>
    <row r="27" spans="2:8" x14ac:dyDescent="0.2">
      <c r="D27" s="17"/>
      <c r="E27" s="482" t="s">
        <v>294</v>
      </c>
      <c r="F27" s="482"/>
      <c r="G27" s="493"/>
      <c r="H27" s="351">
        <v>4</v>
      </c>
    </row>
    <row r="28" spans="2:8" x14ac:dyDescent="0.2">
      <c r="D28" s="17"/>
      <c r="E28" s="321" t="s">
        <v>295</v>
      </c>
      <c r="F28" s="321"/>
      <c r="G28" s="284"/>
      <c r="H28" s="347" t="b">
        <v>1</v>
      </c>
    </row>
    <row r="29" spans="2:8" ht="15.75" thickBot="1" x14ac:dyDescent="0.25">
      <c r="D29" s="17"/>
      <c r="E29" s="494" t="s">
        <v>532</v>
      </c>
      <c r="F29" s="495"/>
      <c r="G29" s="495"/>
      <c r="H29" s="496">
        <f>_xlfn.POISSON.DIST(H26,H27,H28)</f>
        <v>0.43347012036670896</v>
      </c>
    </row>
    <row r="30" spans="2:8" x14ac:dyDescent="0.2">
      <c r="E30" s="321"/>
      <c r="F30" s="321"/>
      <c r="G30" s="321"/>
      <c r="H30" s="585" t="s">
        <v>537</v>
      </c>
    </row>
  </sheetData>
  <mergeCells count="2">
    <mergeCell ref="D4:H4"/>
    <mergeCell ref="C5:H5"/>
  </mergeCells>
  <phoneticPr fontId="5" type="noConversion"/>
  <pageMargins left="0.78740157499999996" right="0.78740157499999996" top="0.984251969" bottom="0.984251969" header="0.4921259845" footer="0.4921259845"/>
  <headerFooter alignWithMargins="0"/>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topLeftCell="B1" workbookViewId="0">
      <selection activeCell="B11" sqref="B11"/>
    </sheetView>
  </sheetViews>
  <sheetFormatPr baseColWidth="10" defaultRowHeight="12.75" x14ac:dyDescent="0.2"/>
  <cols>
    <col min="1" max="1" width="4.85546875" customWidth="1"/>
    <col min="2" max="2" width="22.140625" customWidth="1"/>
    <col min="3" max="3" width="25.42578125" customWidth="1"/>
    <col min="4" max="4" width="21.140625" customWidth="1"/>
    <col min="5" max="5" width="4.140625" customWidth="1"/>
    <col min="6" max="6" width="21.42578125" customWidth="1"/>
    <col min="7" max="7" width="21.140625" customWidth="1"/>
    <col min="8" max="8" width="7.7109375" customWidth="1"/>
    <col min="9" max="9" width="6.28515625" customWidth="1"/>
  </cols>
  <sheetData>
    <row r="1" spans="1:8" ht="15.75" x14ac:dyDescent="0.2">
      <c r="B1" s="62" t="s">
        <v>8</v>
      </c>
      <c r="C1" s="439"/>
      <c r="D1" s="440" t="s">
        <v>297</v>
      </c>
      <c r="E1" s="441"/>
      <c r="F1" s="441"/>
      <c r="G1" s="441"/>
      <c r="H1" s="320"/>
    </row>
    <row r="2" spans="1:8" ht="15.75" x14ac:dyDescent="0.2">
      <c r="B2" s="62" t="s">
        <v>16</v>
      </c>
      <c r="C2" s="439"/>
      <c r="D2" s="440" t="s">
        <v>299</v>
      </c>
      <c r="E2" s="441"/>
      <c r="F2" s="441"/>
      <c r="G2" s="441"/>
      <c r="H2" s="320"/>
    </row>
    <row r="3" spans="1:8" ht="15" x14ac:dyDescent="0.2">
      <c r="B3" s="62" t="s">
        <v>17</v>
      </c>
      <c r="C3" s="439"/>
      <c r="D3" s="62" t="s">
        <v>18</v>
      </c>
      <c r="E3" s="441"/>
      <c r="F3" s="441"/>
      <c r="G3" s="441"/>
      <c r="H3" s="320"/>
    </row>
    <row r="4" spans="1:8" ht="15" x14ac:dyDescent="0.2">
      <c r="B4" s="62" t="s">
        <v>19</v>
      </c>
      <c r="C4" s="439"/>
      <c r="D4" s="650" t="s">
        <v>296</v>
      </c>
      <c r="E4" s="624"/>
      <c r="F4" s="624"/>
      <c r="G4" s="624"/>
      <c r="H4" s="321"/>
    </row>
    <row r="5" spans="1:8" ht="36.75" customHeight="1" x14ac:dyDescent="0.2">
      <c r="B5" s="13" t="s">
        <v>1</v>
      </c>
      <c r="C5" s="439"/>
      <c r="D5" s="441"/>
      <c r="E5" s="441"/>
      <c r="F5" s="441"/>
      <c r="G5" s="441"/>
    </row>
    <row r="6" spans="1:8" ht="43.5" customHeight="1" x14ac:dyDescent="0.2">
      <c r="B6" s="13" t="s">
        <v>20</v>
      </c>
      <c r="C6" s="611" t="s">
        <v>298</v>
      </c>
      <c r="D6" s="660"/>
      <c r="E6" s="660"/>
      <c r="F6" s="660"/>
      <c r="G6" s="660"/>
      <c r="H6" s="144"/>
    </row>
    <row r="9" spans="1:8" ht="13.5" thickBot="1" x14ac:dyDescent="0.25">
      <c r="B9" s="22"/>
      <c r="C9" s="1"/>
      <c r="D9" s="22"/>
      <c r="E9" s="2"/>
      <c r="F9" s="3"/>
    </row>
    <row r="10" spans="1:8" ht="26.25" thickBot="1" x14ac:dyDescent="0.25">
      <c r="A10" s="17"/>
      <c r="B10" s="483" t="s">
        <v>302</v>
      </c>
      <c r="C10" s="505" t="s">
        <v>301</v>
      </c>
      <c r="D10" s="506" t="s">
        <v>300</v>
      </c>
    </row>
    <row r="11" spans="1:8" x14ac:dyDescent="0.2">
      <c r="A11" s="17"/>
      <c r="B11" s="342">
        <v>1</v>
      </c>
      <c r="C11" s="44">
        <v>1000</v>
      </c>
      <c r="D11" s="500">
        <f t="shared" ref="D11:D50" si="0">STANDARDIZE(C11,$F$15,$G$15)</f>
        <v>-1.7277368511627205</v>
      </c>
      <c r="E11" s="129" t="s">
        <v>303</v>
      </c>
    </row>
    <row r="12" spans="1:8" x14ac:dyDescent="0.2">
      <c r="A12" s="17"/>
      <c r="B12" s="449">
        <v>2</v>
      </c>
      <c r="C12" s="45">
        <v>1100</v>
      </c>
      <c r="D12" s="501">
        <f t="shared" si="0"/>
        <v>-1.5549631660464482</v>
      </c>
    </row>
    <row r="13" spans="1:8" ht="13.5" thickBot="1" x14ac:dyDescent="0.25">
      <c r="A13" s="17"/>
      <c r="B13" s="342">
        <v>3</v>
      </c>
      <c r="C13" s="44">
        <v>1200</v>
      </c>
      <c r="D13" s="500">
        <f t="shared" si="0"/>
        <v>-1.3821894809301762</v>
      </c>
      <c r="F13" s="224" t="s">
        <v>248</v>
      </c>
    </row>
    <row r="14" spans="1:8" ht="13.5" thickBot="1" x14ac:dyDescent="0.25">
      <c r="A14" s="17"/>
      <c r="B14" s="449">
        <v>4</v>
      </c>
      <c r="C14" s="45">
        <v>1300</v>
      </c>
      <c r="D14" s="501">
        <f t="shared" si="0"/>
        <v>-1.2094157958139042</v>
      </c>
      <c r="F14" s="499" t="s">
        <v>6</v>
      </c>
      <c r="G14" s="29" t="s">
        <v>7</v>
      </c>
    </row>
    <row r="15" spans="1:8" ht="13.5" thickBot="1" x14ac:dyDescent="0.25">
      <c r="A15" s="17"/>
      <c r="B15" s="342">
        <v>5</v>
      </c>
      <c r="C15" s="44">
        <v>1400</v>
      </c>
      <c r="D15" s="500">
        <f t="shared" si="0"/>
        <v>-1.0366421106976322</v>
      </c>
      <c r="F15" s="497">
        <f>AVERAGE(C11:C50)</f>
        <v>2000</v>
      </c>
      <c r="G15" s="498">
        <f>STDEVP(C11:C50)</f>
        <v>578.79184513951122</v>
      </c>
    </row>
    <row r="16" spans="1:8" x14ac:dyDescent="0.2">
      <c r="A16" s="17"/>
      <c r="B16" s="449">
        <v>6</v>
      </c>
      <c r="C16" s="45">
        <v>1500</v>
      </c>
      <c r="D16" s="501">
        <f t="shared" si="0"/>
        <v>-0.86386842558136023</v>
      </c>
    </row>
    <row r="17" spans="1:4" x14ac:dyDescent="0.2">
      <c r="A17" s="17"/>
      <c r="B17" s="342">
        <v>7</v>
      </c>
      <c r="C17" s="44">
        <v>1600</v>
      </c>
      <c r="D17" s="500">
        <f t="shared" si="0"/>
        <v>-0.69109474046508812</v>
      </c>
    </row>
    <row r="18" spans="1:4" x14ac:dyDescent="0.2">
      <c r="A18" s="17"/>
      <c r="B18" s="449">
        <v>8</v>
      </c>
      <c r="C18" s="45">
        <v>1700</v>
      </c>
      <c r="D18" s="501">
        <f t="shared" si="0"/>
        <v>-0.51832105534881612</v>
      </c>
    </row>
    <row r="19" spans="1:4" x14ac:dyDescent="0.2">
      <c r="A19" s="17"/>
      <c r="B19" s="342">
        <v>9</v>
      </c>
      <c r="C19" s="44">
        <v>1800</v>
      </c>
      <c r="D19" s="500">
        <f t="shared" si="0"/>
        <v>-0.34554737023254406</v>
      </c>
    </row>
    <row r="20" spans="1:4" x14ac:dyDescent="0.2">
      <c r="A20" s="17"/>
      <c r="B20" s="449">
        <v>10</v>
      </c>
      <c r="C20" s="45">
        <v>1900</v>
      </c>
      <c r="D20" s="501">
        <f t="shared" si="0"/>
        <v>-0.17277368511627203</v>
      </c>
    </row>
    <row r="21" spans="1:4" x14ac:dyDescent="0.2">
      <c r="A21" s="17"/>
      <c r="B21" s="342">
        <v>11</v>
      </c>
      <c r="C21" s="44">
        <v>2000</v>
      </c>
      <c r="D21" s="500">
        <f t="shared" si="0"/>
        <v>0</v>
      </c>
    </row>
    <row r="22" spans="1:4" x14ac:dyDescent="0.2">
      <c r="A22" s="17"/>
      <c r="B22" s="449">
        <v>12</v>
      </c>
      <c r="C22" s="45">
        <v>2100</v>
      </c>
      <c r="D22" s="501">
        <f t="shared" si="0"/>
        <v>0.17277368511627203</v>
      </c>
    </row>
    <row r="23" spans="1:4" x14ac:dyDescent="0.2">
      <c r="A23" s="17"/>
      <c r="B23" s="342">
        <v>13</v>
      </c>
      <c r="C23" s="44">
        <v>2200</v>
      </c>
      <c r="D23" s="500">
        <f t="shared" si="0"/>
        <v>0.34554737023254406</v>
      </c>
    </row>
    <row r="24" spans="1:4" x14ac:dyDescent="0.2">
      <c r="A24" s="17"/>
      <c r="B24" s="449">
        <v>14</v>
      </c>
      <c r="C24" s="45">
        <v>2300</v>
      </c>
      <c r="D24" s="501">
        <f t="shared" si="0"/>
        <v>0.51832105534881612</v>
      </c>
    </row>
    <row r="25" spans="1:4" x14ac:dyDescent="0.2">
      <c r="A25" s="17"/>
      <c r="B25" s="342">
        <v>15</v>
      </c>
      <c r="C25" s="44">
        <v>2400</v>
      </c>
      <c r="D25" s="503">
        <f t="shared" si="0"/>
        <v>0.69109474046508812</v>
      </c>
    </row>
    <row r="26" spans="1:4" x14ac:dyDescent="0.2">
      <c r="A26" s="17"/>
      <c r="B26" s="449">
        <v>16</v>
      </c>
      <c r="C26" s="45">
        <v>2500</v>
      </c>
      <c r="D26" s="501">
        <f t="shared" si="0"/>
        <v>0.86386842558136023</v>
      </c>
    </row>
    <row r="27" spans="1:4" x14ac:dyDescent="0.2">
      <c r="A27" s="17"/>
      <c r="B27" s="342">
        <v>17</v>
      </c>
      <c r="C27" s="44">
        <v>2600</v>
      </c>
      <c r="D27" s="500">
        <f t="shared" si="0"/>
        <v>1.0366421106976322</v>
      </c>
    </row>
    <row r="28" spans="1:4" x14ac:dyDescent="0.2">
      <c r="A28" s="17"/>
      <c r="B28" s="449">
        <v>18</v>
      </c>
      <c r="C28" s="45">
        <v>2700</v>
      </c>
      <c r="D28" s="501">
        <f t="shared" si="0"/>
        <v>1.2094157958139042</v>
      </c>
    </row>
    <row r="29" spans="1:4" x14ac:dyDescent="0.2">
      <c r="A29" s="17"/>
      <c r="B29" s="342">
        <v>19</v>
      </c>
      <c r="C29" s="44">
        <v>2800</v>
      </c>
      <c r="D29" s="500">
        <f t="shared" si="0"/>
        <v>1.3821894809301762</v>
      </c>
    </row>
    <row r="30" spans="1:4" x14ac:dyDescent="0.2">
      <c r="A30" s="17"/>
      <c r="B30" s="449">
        <v>20</v>
      </c>
      <c r="C30" s="45">
        <v>2900</v>
      </c>
      <c r="D30" s="501">
        <f t="shared" si="0"/>
        <v>1.5549631660464482</v>
      </c>
    </row>
    <row r="31" spans="1:4" x14ac:dyDescent="0.2">
      <c r="A31" s="17"/>
      <c r="B31" s="342">
        <v>21</v>
      </c>
      <c r="C31" s="44">
        <v>3000</v>
      </c>
      <c r="D31" s="500">
        <f t="shared" si="0"/>
        <v>1.7277368511627205</v>
      </c>
    </row>
    <row r="32" spans="1:4" x14ac:dyDescent="0.2">
      <c r="A32" s="17"/>
      <c r="B32" s="449">
        <v>22</v>
      </c>
      <c r="C32" s="45">
        <v>2900</v>
      </c>
      <c r="D32" s="501">
        <f t="shared" si="0"/>
        <v>1.5549631660464482</v>
      </c>
    </row>
    <row r="33" spans="1:4" x14ac:dyDescent="0.2">
      <c r="A33" s="17"/>
      <c r="B33" s="342">
        <v>23</v>
      </c>
      <c r="C33" s="44">
        <v>2800</v>
      </c>
      <c r="D33" s="500">
        <f t="shared" si="0"/>
        <v>1.3821894809301762</v>
      </c>
    </row>
    <row r="34" spans="1:4" x14ac:dyDescent="0.2">
      <c r="A34" s="17"/>
      <c r="B34" s="449">
        <v>24</v>
      </c>
      <c r="C34" s="45">
        <v>2700</v>
      </c>
      <c r="D34" s="501">
        <f t="shared" si="0"/>
        <v>1.2094157958139042</v>
      </c>
    </row>
    <row r="35" spans="1:4" x14ac:dyDescent="0.2">
      <c r="A35" s="17"/>
      <c r="B35" s="342">
        <v>25</v>
      </c>
      <c r="C35" s="44">
        <v>2600</v>
      </c>
      <c r="D35" s="500">
        <f t="shared" si="0"/>
        <v>1.0366421106976322</v>
      </c>
    </row>
    <row r="36" spans="1:4" x14ac:dyDescent="0.2">
      <c r="A36" s="17"/>
      <c r="B36" s="449">
        <v>26</v>
      </c>
      <c r="C36" s="45">
        <v>2500</v>
      </c>
      <c r="D36" s="501">
        <f t="shared" si="0"/>
        <v>0.86386842558136023</v>
      </c>
    </row>
    <row r="37" spans="1:4" x14ac:dyDescent="0.2">
      <c r="A37" s="17"/>
      <c r="B37" s="342">
        <v>27</v>
      </c>
      <c r="C37" s="44">
        <v>2400</v>
      </c>
      <c r="D37" s="500">
        <f t="shared" si="0"/>
        <v>0.69109474046508812</v>
      </c>
    </row>
    <row r="38" spans="1:4" x14ac:dyDescent="0.2">
      <c r="A38" s="17"/>
      <c r="B38" s="449">
        <v>28</v>
      </c>
      <c r="C38" s="45">
        <v>2300</v>
      </c>
      <c r="D38" s="501">
        <f t="shared" si="0"/>
        <v>0.51832105534881612</v>
      </c>
    </row>
    <row r="39" spans="1:4" x14ac:dyDescent="0.2">
      <c r="A39" s="17"/>
      <c r="B39" s="342">
        <v>29</v>
      </c>
      <c r="C39" s="44">
        <v>2200</v>
      </c>
      <c r="D39" s="500">
        <f t="shared" si="0"/>
        <v>0.34554737023254406</v>
      </c>
    </row>
    <row r="40" spans="1:4" x14ac:dyDescent="0.2">
      <c r="A40" s="17"/>
      <c r="B40" s="449">
        <v>30</v>
      </c>
      <c r="C40" s="45">
        <v>2100</v>
      </c>
      <c r="D40" s="501">
        <f t="shared" si="0"/>
        <v>0.17277368511627203</v>
      </c>
    </row>
    <row r="41" spans="1:4" x14ac:dyDescent="0.2">
      <c r="A41" s="17"/>
      <c r="B41" s="342">
        <v>31</v>
      </c>
      <c r="C41" s="44">
        <v>2000</v>
      </c>
      <c r="D41" s="500">
        <f t="shared" si="0"/>
        <v>0</v>
      </c>
    </row>
    <row r="42" spans="1:4" x14ac:dyDescent="0.2">
      <c r="A42" s="17"/>
      <c r="B42" s="449">
        <v>32</v>
      </c>
      <c r="C42" s="45">
        <v>1900</v>
      </c>
      <c r="D42" s="501">
        <f t="shared" si="0"/>
        <v>-0.17277368511627203</v>
      </c>
    </row>
    <row r="43" spans="1:4" x14ac:dyDescent="0.2">
      <c r="A43" s="17"/>
      <c r="B43" s="342">
        <v>33</v>
      </c>
      <c r="C43" s="44">
        <v>1800</v>
      </c>
      <c r="D43" s="500">
        <f t="shared" si="0"/>
        <v>-0.34554737023254406</v>
      </c>
    </row>
    <row r="44" spans="1:4" x14ac:dyDescent="0.2">
      <c r="A44" s="17"/>
      <c r="B44" s="449">
        <v>34</v>
      </c>
      <c r="C44" s="45">
        <v>1700</v>
      </c>
      <c r="D44" s="501">
        <f t="shared" si="0"/>
        <v>-0.51832105534881612</v>
      </c>
    </row>
    <row r="45" spans="1:4" x14ac:dyDescent="0.2">
      <c r="A45" s="17"/>
      <c r="B45" s="342">
        <v>35</v>
      </c>
      <c r="C45" s="44">
        <v>1600</v>
      </c>
      <c r="D45" s="500">
        <f t="shared" si="0"/>
        <v>-0.69109474046508812</v>
      </c>
    </row>
    <row r="46" spans="1:4" x14ac:dyDescent="0.2">
      <c r="A46" s="17"/>
      <c r="B46" s="449">
        <v>36</v>
      </c>
      <c r="C46" s="45">
        <v>1500</v>
      </c>
      <c r="D46" s="501">
        <f t="shared" si="0"/>
        <v>-0.86386842558136023</v>
      </c>
    </row>
    <row r="47" spans="1:4" x14ac:dyDescent="0.2">
      <c r="A47" s="17"/>
      <c r="B47" s="342">
        <v>37</v>
      </c>
      <c r="C47" s="44">
        <v>1400</v>
      </c>
      <c r="D47" s="500">
        <f t="shared" si="0"/>
        <v>-1.0366421106976322</v>
      </c>
    </row>
    <row r="48" spans="1:4" x14ac:dyDescent="0.2">
      <c r="A48" s="17"/>
      <c r="B48" s="449">
        <v>38</v>
      </c>
      <c r="C48" s="45">
        <v>1300</v>
      </c>
      <c r="D48" s="501">
        <f t="shared" si="0"/>
        <v>-1.2094157958139042</v>
      </c>
    </row>
    <row r="49" spans="1:11" x14ac:dyDescent="0.2">
      <c r="A49" s="17"/>
      <c r="B49" s="342">
        <v>39</v>
      </c>
      <c r="C49" s="44">
        <v>1200</v>
      </c>
      <c r="D49" s="500">
        <f t="shared" si="0"/>
        <v>-1.3821894809301762</v>
      </c>
    </row>
    <row r="50" spans="1:11" ht="13.5" thickBot="1" x14ac:dyDescent="0.25">
      <c r="A50" s="17"/>
      <c r="B50" s="46">
        <v>40</v>
      </c>
      <c r="C50" s="46">
        <v>1100</v>
      </c>
      <c r="D50" s="502">
        <f t="shared" si="0"/>
        <v>-1.5549631660464482</v>
      </c>
    </row>
    <row r="54" spans="1:11" x14ac:dyDescent="0.2">
      <c r="C54" s="504"/>
      <c r="D54" s="5"/>
      <c r="E54" s="5"/>
      <c r="F54" s="5"/>
      <c r="G54" s="5"/>
      <c r="H54" s="5"/>
      <c r="I54" s="5"/>
      <c r="J54" s="5"/>
      <c r="K54" s="5"/>
    </row>
    <row r="55" spans="1:11" x14ac:dyDescent="0.2">
      <c r="C55" s="5"/>
      <c r="D55" s="5"/>
      <c r="E55" s="5"/>
      <c r="F55" s="5"/>
      <c r="G55" s="5"/>
      <c r="H55" s="5"/>
      <c r="I55" s="5"/>
      <c r="J55" s="5"/>
      <c r="K55" s="5"/>
    </row>
    <row r="56" spans="1:11" x14ac:dyDescent="0.2">
      <c r="C56" s="5"/>
      <c r="D56" s="5"/>
      <c r="E56" s="5"/>
      <c r="F56" s="5"/>
      <c r="G56" s="5"/>
      <c r="H56" s="5"/>
      <c r="I56" s="5"/>
      <c r="J56" s="5"/>
      <c r="K56" s="5"/>
    </row>
    <row r="57" spans="1:11" x14ac:dyDescent="0.2">
      <c r="C57" s="5"/>
      <c r="D57" s="5"/>
      <c r="E57" s="5"/>
      <c r="F57" s="5"/>
      <c r="G57" s="5"/>
      <c r="H57" s="5"/>
      <c r="I57" s="5"/>
      <c r="J57" s="5"/>
      <c r="K57" s="5"/>
    </row>
    <row r="58" spans="1:11" x14ac:dyDescent="0.2">
      <c r="C58" s="5"/>
      <c r="D58" s="5"/>
      <c r="E58" s="5"/>
      <c r="F58" s="5"/>
      <c r="G58" s="5"/>
      <c r="H58" s="5"/>
      <c r="I58" s="5"/>
      <c r="J58" s="5"/>
      <c r="K58" s="5"/>
    </row>
    <row r="59" spans="1:11" x14ac:dyDescent="0.2">
      <c r="C59" s="5"/>
      <c r="D59" s="5"/>
      <c r="E59" s="5"/>
      <c r="F59" s="5"/>
      <c r="G59" s="5"/>
      <c r="H59" s="5"/>
      <c r="I59" s="5"/>
      <c r="J59" s="5"/>
      <c r="K59" s="5"/>
    </row>
    <row r="60" spans="1:11" x14ac:dyDescent="0.2">
      <c r="C60" s="5"/>
      <c r="D60" s="504"/>
      <c r="E60" s="504"/>
      <c r="F60" s="504"/>
      <c r="G60" s="504"/>
      <c r="H60" s="504"/>
      <c r="I60" s="504"/>
      <c r="J60" s="504"/>
      <c r="K60" s="5"/>
    </row>
  </sheetData>
  <mergeCells count="2">
    <mergeCell ref="C6:G6"/>
    <mergeCell ref="D4:G4"/>
  </mergeCells>
  <phoneticPr fontId="5" type="noConversion"/>
  <pageMargins left="0.78740157499999996" right="0.78740157499999996" top="0.984251969" bottom="0.984251969" header="0.4921259845" footer="0.4921259845"/>
  <pageSetup paperSize="9" orientation="portrait" verticalDpi="0"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2</xdr:col>
                <xdr:colOff>57150</xdr:colOff>
                <xdr:row>4</xdr:row>
                <xdr:rowOff>28575</xdr:rowOff>
              </from>
              <to>
                <xdr:col>2</xdr:col>
                <xdr:colOff>714375</xdr:colOff>
                <xdr:row>4</xdr:row>
                <xdr:rowOff>419100</xdr:rowOff>
              </to>
            </anchor>
          </objectPr>
        </oleObject>
      </mc:Choice>
      <mc:Fallback>
        <oleObject progId="Equation.3" shapeId="26625" r:id="rId4"/>
      </mc:Fallback>
    </mc:AlternateContent>
  </oleObjec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B1" zoomScale="95" workbookViewId="0">
      <selection activeCell="C9" sqref="C9"/>
    </sheetView>
  </sheetViews>
  <sheetFormatPr baseColWidth="10" defaultRowHeight="12.75" x14ac:dyDescent="0.2"/>
  <cols>
    <col min="1" max="1" width="3.7109375" customWidth="1"/>
    <col min="2" max="2" width="20.7109375" customWidth="1"/>
    <col min="3" max="3" width="20.140625" customWidth="1"/>
    <col min="4" max="4" width="19.7109375" customWidth="1"/>
    <col min="5" max="5" width="15.28515625" customWidth="1"/>
    <col min="6" max="6" width="16.42578125" customWidth="1"/>
    <col min="7" max="7" width="17.28515625" customWidth="1"/>
  </cols>
  <sheetData>
    <row r="1" spans="1:7" ht="18" customHeight="1" x14ac:dyDescent="0.2">
      <c r="B1" s="62" t="s">
        <v>8</v>
      </c>
      <c r="C1" s="439"/>
      <c r="D1" s="440" t="s">
        <v>308</v>
      </c>
      <c r="E1" s="441"/>
      <c r="F1" s="441"/>
      <c r="G1" s="441"/>
    </row>
    <row r="2" spans="1:7" ht="18" customHeight="1" x14ac:dyDescent="0.2">
      <c r="B2" s="62" t="s">
        <v>16</v>
      </c>
      <c r="C2" s="439"/>
      <c r="D2" s="440" t="s">
        <v>310</v>
      </c>
      <c r="E2" s="441"/>
      <c r="F2" s="441"/>
      <c r="G2" s="441"/>
    </row>
    <row r="3" spans="1:7" ht="18" customHeight="1" x14ac:dyDescent="0.2">
      <c r="B3" s="62" t="s">
        <v>17</v>
      </c>
      <c r="C3" s="439"/>
      <c r="D3" s="62" t="s">
        <v>18</v>
      </c>
      <c r="E3" s="441"/>
      <c r="F3" s="441"/>
      <c r="G3" s="441"/>
    </row>
    <row r="4" spans="1:7" ht="18" customHeight="1" x14ac:dyDescent="0.2">
      <c r="B4" s="62" t="s">
        <v>19</v>
      </c>
      <c r="C4" s="439"/>
      <c r="D4" s="650" t="s">
        <v>319</v>
      </c>
      <c r="E4" s="624"/>
      <c r="F4" s="624"/>
      <c r="G4" s="624"/>
    </row>
    <row r="5" spans="1:7" ht="32.25" customHeight="1" x14ac:dyDescent="0.2">
      <c r="B5" s="13" t="s">
        <v>20</v>
      </c>
      <c r="C5" s="611" t="s">
        <v>309</v>
      </c>
      <c r="D5" s="660"/>
      <c r="E5" s="660"/>
      <c r="F5" s="660"/>
      <c r="G5" s="660"/>
    </row>
    <row r="6" spans="1:7" ht="13.5" thickBot="1" x14ac:dyDescent="0.25">
      <c r="C6" s="22"/>
      <c r="D6" s="22"/>
    </row>
    <row r="7" spans="1:7" ht="33.75" customHeight="1" thickBot="1" x14ac:dyDescent="0.25">
      <c r="B7" s="516"/>
      <c r="C7" s="405" t="s">
        <v>201</v>
      </c>
      <c r="D7" s="406" t="s">
        <v>202</v>
      </c>
    </row>
    <row r="8" spans="1:7" ht="13.5" thickBot="1" x14ac:dyDescent="0.25">
      <c r="A8" s="17"/>
      <c r="B8" s="514" t="s">
        <v>198</v>
      </c>
      <c r="C8" s="515" t="s">
        <v>199</v>
      </c>
      <c r="D8" s="191" t="s">
        <v>200</v>
      </c>
    </row>
    <row r="9" spans="1:7" x14ac:dyDescent="0.2">
      <c r="A9" s="17"/>
      <c r="B9" s="397">
        <v>38718</v>
      </c>
      <c r="C9" s="398">
        <v>236</v>
      </c>
      <c r="D9" s="399">
        <v>20</v>
      </c>
      <c r="F9" s="38" t="s">
        <v>242</v>
      </c>
      <c r="G9" s="199"/>
    </row>
    <row r="10" spans="1:7" x14ac:dyDescent="0.2">
      <c r="A10" s="17"/>
      <c r="B10" s="400">
        <v>38749</v>
      </c>
      <c r="C10" s="401">
        <v>1221</v>
      </c>
      <c r="D10" s="401">
        <v>387</v>
      </c>
      <c r="F10" t="s">
        <v>314</v>
      </c>
    </row>
    <row r="11" spans="1:7" x14ac:dyDescent="0.2">
      <c r="A11" s="17"/>
      <c r="B11" s="397">
        <v>38777</v>
      </c>
      <c r="C11" s="399">
        <v>1563</v>
      </c>
      <c r="D11" s="399">
        <v>456</v>
      </c>
      <c r="F11" s="199" t="s">
        <v>315</v>
      </c>
      <c r="G11" s="199"/>
    </row>
    <row r="12" spans="1:7" x14ac:dyDescent="0.2">
      <c r="A12" s="17"/>
      <c r="B12" s="400">
        <v>38808</v>
      </c>
      <c r="C12" s="401">
        <v>2682</v>
      </c>
      <c r="D12" s="401">
        <v>544</v>
      </c>
    </row>
    <row r="13" spans="1:7" x14ac:dyDescent="0.2">
      <c r="A13" s="17"/>
      <c r="B13" s="397">
        <v>38838</v>
      </c>
      <c r="C13" s="399">
        <v>4569</v>
      </c>
      <c r="D13" s="399">
        <v>349</v>
      </c>
    </row>
    <row r="14" spans="1:7" x14ac:dyDescent="0.2">
      <c r="A14" s="17"/>
      <c r="B14" s="400">
        <v>38869</v>
      </c>
      <c r="C14" s="401">
        <v>6848</v>
      </c>
      <c r="D14" s="401">
        <v>854</v>
      </c>
    </row>
    <row r="15" spans="1:7" x14ac:dyDescent="0.2">
      <c r="A15" s="17"/>
      <c r="B15" s="397">
        <v>38899</v>
      </c>
      <c r="C15" s="399">
        <v>8463</v>
      </c>
      <c r="D15" s="399">
        <v>427</v>
      </c>
      <c r="F15" s="38" t="s">
        <v>41</v>
      </c>
    </row>
    <row r="16" spans="1:7" x14ac:dyDescent="0.2">
      <c r="A16" s="17"/>
      <c r="B16" s="400">
        <v>38930</v>
      </c>
      <c r="C16" s="401">
        <v>10157</v>
      </c>
      <c r="D16" s="401">
        <v>337</v>
      </c>
      <c r="F16" s="199" t="s">
        <v>313</v>
      </c>
    </row>
    <row r="17" spans="1:6" x14ac:dyDescent="0.2">
      <c r="A17" s="17"/>
      <c r="B17" s="397">
        <v>38961</v>
      </c>
      <c r="C17" s="399">
        <v>11837</v>
      </c>
      <c r="D17" s="399">
        <v>899</v>
      </c>
      <c r="F17" t="s">
        <v>316</v>
      </c>
    </row>
    <row r="18" spans="1:6" x14ac:dyDescent="0.2">
      <c r="A18" s="17"/>
      <c r="B18" s="400">
        <v>38991</v>
      </c>
      <c r="C18" s="401">
        <v>12987</v>
      </c>
      <c r="D18" s="401">
        <v>1011</v>
      </c>
      <c r="F18" t="s">
        <v>317</v>
      </c>
    </row>
    <row r="19" spans="1:6" x14ac:dyDescent="0.2">
      <c r="A19" s="17"/>
      <c r="B19" s="397">
        <v>39022</v>
      </c>
      <c r="C19" s="399">
        <v>13739</v>
      </c>
      <c r="D19" s="399">
        <v>720</v>
      </c>
      <c r="F19" t="s">
        <v>318</v>
      </c>
    </row>
    <row r="20" spans="1:6" x14ac:dyDescent="0.2">
      <c r="A20" s="17"/>
      <c r="B20" s="400">
        <v>39052</v>
      </c>
      <c r="C20" s="401">
        <v>14376</v>
      </c>
      <c r="D20" s="401">
        <v>1069</v>
      </c>
    </row>
    <row r="21" spans="1:6" x14ac:dyDescent="0.2">
      <c r="A21" s="17"/>
      <c r="B21" s="397">
        <v>39083</v>
      </c>
      <c r="C21" s="399">
        <v>15739</v>
      </c>
      <c r="D21" s="399">
        <v>1070</v>
      </c>
    </row>
    <row r="22" spans="1:6" x14ac:dyDescent="0.2">
      <c r="A22" s="17"/>
      <c r="B22" s="400">
        <v>39114</v>
      </c>
      <c r="C22" s="401">
        <v>16123</v>
      </c>
      <c r="D22" s="401">
        <v>967</v>
      </c>
    </row>
    <row r="23" spans="1:6" x14ac:dyDescent="0.2">
      <c r="A23" s="17"/>
      <c r="B23" s="397">
        <v>39142</v>
      </c>
      <c r="C23" s="399">
        <v>16548</v>
      </c>
      <c r="D23" s="399">
        <v>1401</v>
      </c>
    </row>
    <row r="24" spans="1:6" x14ac:dyDescent="0.2">
      <c r="A24" s="17"/>
      <c r="B24" s="400">
        <v>39173</v>
      </c>
      <c r="C24" s="401">
        <v>17352</v>
      </c>
      <c r="D24" s="401">
        <v>1076</v>
      </c>
    </row>
    <row r="25" spans="1:6" x14ac:dyDescent="0.2">
      <c r="A25" s="17"/>
      <c r="B25" s="397">
        <v>39203</v>
      </c>
      <c r="C25" s="399">
        <v>17986</v>
      </c>
      <c r="D25" s="399">
        <v>1563</v>
      </c>
    </row>
    <row r="26" spans="1:6" x14ac:dyDescent="0.2">
      <c r="A26" s="17"/>
      <c r="B26" s="400">
        <v>39234</v>
      </c>
      <c r="C26" s="401">
        <v>18234</v>
      </c>
      <c r="D26" s="401">
        <v>1485</v>
      </c>
    </row>
    <row r="27" spans="1:6" x14ac:dyDescent="0.2">
      <c r="A27" s="17"/>
      <c r="B27" s="397">
        <v>39264</v>
      </c>
      <c r="C27" s="399">
        <v>18769</v>
      </c>
      <c r="D27" s="399">
        <v>1367</v>
      </c>
    </row>
    <row r="28" spans="1:6" x14ac:dyDescent="0.2">
      <c r="A28" s="17"/>
      <c r="B28" s="400">
        <v>39295</v>
      </c>
      <c r="C28" s="401">
        <v>19736</v>
      </c>
      <c r="D28" s="401">
        <v>1138</v>
      </c>
    </row>
    <row r="29" spans="1:6" x14ac:dyDescent="0.2">
      <c r="A29" s="17"/>
      <c r="B29" s="397">
        <v>39326</v>
      </c>
      <c r="C29" s="399">
        <v>20333</v>
      </c>
      <c r="D29" s="399">
        <v>1352</v>
      </c>
    </row>
    <row r="30" spans="1:6" x14ac:dyDescent="0.2">
      <c r="A30" s="17"/>
      <c r="B30" s="400">
        <v>39356</v>
      </c>
      <c r="C30" s="401">
        <v>20987</v>
      </c>
      <c r="D30" s="401">
        <v>1343</v>
      </c>
    </row>
    <row r="31" spans="1:6" x14ac:dyDescent="0.2">
      <c r="A31" s="17"/>
      <c r="B31" s="397">
        <v>39387</v>
      </c>
      <c r="C31" s="399">
        <v>21323</v>
      </c>
      <c r="D31" s="399">
        <v>1430</v>
      </c>
    </row>
    <row r="32" spans="1:6" x14ac:dyDescent="0.2">
      <c r="A32" s="17"/>
      <c r="B32" s="400">
        <v>39417</v>
      </c>
      <c r="C32" s="401">
        <v>21999</v>
      </c>
      <c r="D32" s="401">
        <v>1375</v>
      </c>
    </row>
    <row r="33" spans="1:4" x14ac:dyDescent="0.2">
      <c r="A33" s="17"/>
      <c r="B33" s="397">
        <v>39448</v>
      </c>
      <c r="C33" s="399">
        <v>22786</v>
      </c>
      <c r="D33" s="399">
        <v>1421</v>
      </c>
    </row>
    <row r="34" spans="1:4" x14ac:dyDescent="0.2">
      <c r="A34" s="17"/>
      <c r="B34" s="400">
        <v>39479</v>
      </c>
      <c r="C34" s="401">
        <v>23784</v>
      </c>
      <c r="D34" s="401">
        <v>1508</v>
      </c>
    </row>
    <row r="35" spans="1:4" x14ac:dyDescent="0.2">
      <c r="A35" s="17"/>
      <c r="B35" s="397">
        <v>39508</v>
      </c>
      <c r="C35" s="399">
        <v>24574</v>
      </c>
      <c r="D35" s="399">
        <v>1876</v>
      </c>
    </row>
    <row r="36" spans="1:4" x14ac:dyDescent="0.2">
      <c r="A36" s="17"/>
      <c r="B36" s="400">
        <v>39539</v>
      </c>
      <c r="C36" s="401">
        <v>25111</v>
      </c>
      <c r="D36" s="401">
        <v>1948</v>
      </c>
    </row>
    <row r="37" spans="1:4" x14ac:dyDescent="0.2">
      <c r="A37" s="17"/>
      <c r="B37" s="397">
        <v>39569</v>
      </c>
      <c r="C37" s="399">
        <v>25789</v>
      </c>
      <c r="D37" s="399">
        <v>2094</v>
      </c>
    </row>
    <row r="38" spans="1:4" x14ac:dyDescent="0.2">
      <c r="A38" s="17"/>
      <c r="B38" s="415">
        <v>39600</v>
      </c>
      <c r="C38" s="401">
        <v>26948</v>
      </c>
      <c r="D38" s="401">
        <v>2134</v>
      </c>
    </row>
    <row r="39" spans="1:4" ht="15.75" thickBot="1" x14ac:dyDescent="0.3">
      <c r="A39" s="17"/>
      <c r="B39" s="519" t="s">
        <v>6</v>
      </c>
      <c r="C39" s="520">
        <f>AVERAGE(C9:C38)</f>
        <v>15426.633333333333</v>
      </c>
      <c r="D39" s="521">
        <f>AVERAGE(D9:D38)</f>
        <v>1120.7</v>
      </c>
    </row>
    <row r="40" spans="1:4" ht="15.75" thickBot="1" x14ac:dyDescent="0.25">
      <c r="A40" s="17"/>
      <c r="B40" s="517" t="s">
        <v>311</v>
      </c>
      <c r="C40" s="707">
        <f>STEYX(D9:D38,C9:C38)</f>
        <v>210.07042711165539</v>
      </c>
      <c r="D40" s="708"/>
    </row>
    <row r="41" spans="1:4" x14ac:dyDescent="0.2">
      <c r="C41" s="705" t="s">
        <v>312</v>
      </c>
      <c r="D41" s="706"/>
    </row>
  </sheetData>
  <mergeCells count="4">
    <mergeCell ref="D4:G4"/>
    <mergeCell ref="C5:G5"/>
    <mergeCell ref="C41:D41"/>
    <mergeCell ref="C40:D40"/>
  </mergeCells>
  <phoneticPr fontId="5" type="noConversion"/>
  <pageMargins left="0.78740157499999996" right="0.78740157499999996" top="0.984251969" bottom="0.984251969" header="0.4921259845" footer="0.492125984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topLeftCell="B1" workbookViewId="0">
      <selection activeCell="I29" sqref="I29"/>
    </sheetView>
  </sheetViews>
  <sheetFormatPr baseColWidth="10" defaultRowHeight="12.75" x14ac:dyDescent="0.2"/>
  <cols>
    <col min="1" max="1" width="3.7109375" customWidth="1"/>
    <col min="2" max="2" width="26.28515625" customWidth="1"/>
    <col min="3" max="3" width="34.5703125" customWidth="1"/>
    <col min="4" max="4" width="4.28515625" customWidth="1"/>
    <col min="5" max="5" width="29.140625" customWidth="1"/>
    <col min="6" max="6" width="18" customWidth="1"/>
    <col min="7" max="7" width="14.5703125" customWidth="1"/>
    <col min="8" max="8" width="19.140625" customWidth="1"/>
  </cols>
  <sheetData>
    <row r="1" spans="2:8" ht="15.75" x14ac:dyDescent="0.25">
      <c r="B1" s="10" t="s">
        <v>8</v>
      </c>
      <c r="C1" s="11"/>
      <c r="D1" s="12" t="s">
        <v>538</v>
      </c>
      <c r="E1" s="11"/>
      <c r="F1" s="61"/>
    </row>
    <row r="2" spans="2:8" ht="15.75" x14ac:dyDescent="0.25">
      <c r="B2" s="10" t="s">
        <v>16</v>
      </c>
      <c r="C2" s="11"/>
      <c r="D2" s="12" t="s">
        <v>539</v>
      </c>
      <c r="E2" s="11"/>
      <c r="F2" s="61"/>
    </row>
    <row r="3" spans="2:8" ht="15" x14ac:dyDescent="0.2">
      <c r="B3" s="10" t="s">
        <v>17</v>
      </c>
      <c r="C3" s="11"/>
      <c r="D3" s="10" t="s">
        <v>18</v>
      </c>
      <c r="E3" s="11"/>
      <c r="F3" s="61"/>
    </row>
    <row r="4" spans="2:8" ht="15" x14ac:dyDescent="0.2">
      <c r="B4" s="10" t="s">
        <v>19</v>
      </c>
      <c r="C4" s="11"/>
      <c r="D4" s="612" t="s">
        <v>540</v>
      </c>
      <c r="E4" s="640"/>
      <c r="F4" s="600"/>
    </row>
    <row r="5" spans="2:8" ht="44.25" customHeight="1" x14ac:dyDescent="0.2">
      <c r="B5" s="13" t="s">
        <v>20</v>
      </c>
      <c r="C5" s="611" t="s">
        <v>64</v>
      </c>
      <c r="D5" s="635"/>
      <c r="E5" s="635"/>
      <c r="F5" s="600"/>
    </row>
    <row r="6" spans="2:8" ht="13.5" thickBot="1" x14ac:dyDescent="0.25"/>
    <row r="7" spans="2:8" ht="18.75" x14ac:dyDescent="0.35">
      <c r="B7" s="133" t="s">
        <v>65</v>
      </c>
      <c r="C7" s="134" t="s">
        <v>66</v>
      </c>
      <c r="D7" s="24"/>
      <c r="E7" s="139" t="s">
        <v>69</v>
      </c>
      <c r="F7" s="140" t="s">
        <v>70</v>
      </c>
    </row>
    <row r="8" spans="2:8" ht="13.5" x14ac:dyDescent="0.25">
      <c r="B8" s="132">
        <v>7</v>
      </c>
      <c r="C8" s="131">
        <v>2</v>
      </c>
      <c r="D8" s="24"/>
      <c r="E8" s="95" t="s">
        <v>67</v>
      </c>
      <c r="F8" s="136">
        <f>SUM(B8:B17)/COUNT(B8:B17)</f>
        <v>6.6</v>
      </c>
      <c r="G8" s="129" t="s">
        <v>388</v>
      </c>
    </row>
    <row r="9" spans="2:8" ht="13.5" x14ac:dyDescent="0.25">
      <c r="B9" s="45">
        <v>8</v>
      </c>
      <c r="C9" s="33">
        <v>4</v>
      </c>
      <c r="D9" s="24"/>
      <c r="E9" s="138" t="s">
        <v>68</v>
      </c>
      <c r="F9" s="137">
        <f>SUM(C8:C17)/COUNT(C8:C17)</f>
        <v>4.333333333333333</v>
      </c>
      <c r="G9" s="129" t="s">
        <v>392</v>
      </c>
    </row>
    <row r="10" spans="2:8" x14ac:dyDescent="0.2">
      <c r="B10" s="44">
        <v>8</v>
      </c>
      <c r="C10" s="32">
        <v>3</v>
      </c>
      <c r="D10" s="24"/>
      <c r="E10" s="95" t="s">
        <v>60</v>
      </c>
      <c r="F10" s="143">
        <f>TDIST(1.73960671564883,F13,1)</f>
        <v>5.000000093821437E-2</v>
      </c>
      <c r="G10" s="150" t="s">
        <v>83</v>
      </c>
    </row>
    <row r="11" spans="2:8" ht="13.5" x14ac:dyDescent="0.25">
      <c r="B11" s="45">
        <v>9</v>
      </c>
      <c r="C11" s="33">
        <v>5</v>
      </c>
      <c r="D11" s="24"/>
      <c r="E11" s="138" t="s">
        <v>61</v>
      </c>
      <c r="F11" s="18">
        <f>COUNT(B8:B17)</f>
        <v>10</v>
      </c>
      <c r="G11" s="150" t="s">
        <v>389</v>
      </c>
    </row>
    <row r="12" spans="2:8" ht="13.5" x14ac:dyDescent="0.25">
      <c r="B12" s="44">
        <v>6</v>
      </c>
      <c r="C12" s="32">
        <v>2</v>
      </c>
      <c r="D12" s="24"/>
      <c r="E12" s="95" t="s">
        <v>62</v>
      </c>
      <c r="F12" s="17">
        <f>COUNT(C8:C17)</f>
        <v>9</v>
      </c>
      <c r="G12" s="151" t="s">
        <v>390</v>
      </c>
    </row>
    <row r="13" spans="2:8" ht="15.75" x14ac:dyDescent="0.3">
      <c r="B13" s="45">
        <v>8</v>
      </c>
      <c r="C13" s="33">
        <v>9</v>
      </c>
      <c r="D13" s="24"/>
      <c r="E13" s="141" t="s">
        <v>63</v>
      </c>
      <c r="F13" s="18">
        <f>F11+F12-2</f>
        <v>17</v>
      </c>
      <c r="G13" s="129" t="s">
        <v>391</v>
      </c>
      <c r="H13" s="130"/>
    </row>
    <row r="14" spans="2:8" x14ac:dyDescent="0.2">
      <c r="B14" s="44">
        <v>4</v>
      </c>
      <c r="C14" s="32">
        <v>5</v>
      </c>
      <c r="E14" s="147" t="s">
        <v>71</v>
      </c>
      <c r="F14" s="17">
        <v>2.3904919699999998</v>
      </c>
      <c r="G14" s="152" t="s">
        <v>76</v>
      </c>
    </row>
    <row r="15" spans="2:8" ht="13.5" thickBot="1" x14ac:dyDescent="0.25">
      <c r="B15" s="45">
        <v>7</v>
      </c>
      <c r="C15" s="33">
        <v>6</v>
      </c>
      <c r="E15" s="148" t="s">
        <v>73</v>
      </c>
      <c r="F15" s="153" t="s">
        <v>82</v>
      </c>
      <c r="G15" s="152"/>
    </row>
    <row r="16" spans="2:8" x14ac:dyDescent="0.2">
      <c r="B16" s="44">
        <v>6</v>
      </c>
      <c r="C16" s="32">
        <v>3</v>
      </c>
      <c r="E16" s="646"/>
      <c r="F16" s="600"/>
      <c r="G16" s="600"/>
      <c r="H16" s="600"/>
    </row>
    <row r="17" spans="2:8" ht="13.5" thickBot="1" x14ac:dyDescent="0.25">
      <c r="B17" s="46">
        <v>3</v>
      </c>
      <c r="C17" s="56"/>
      <c r="F17" s="129"/>
    </row>
    <row r="18" spans="2:8" x14ac:dyDescent="0.2">
      <c r="B18" s="39"/>
      <c r="C18" s="39"/>
      <c r="F18" s="129"/>
    </row>
    <row r="19" spans="2:8" x14ac:dyDescent="0.2">
      <c r="B19" s="38" t="s">
        <v>542</v>
      </c>
      <c r="E19" s="38" t="s">
        <v>72</v>
      </c>
    </row>
    <row r="20" spans="2:8" ht="38.25" customHeight="1" x14ac:dyDescent="0.2">
      <c r="B20" s="145">
        <f>_xlfn.T.TEST(B8:B17,C8:C17,1,2)</f>
        <v>1.4336159764646996E-2</v>
      </c>
      <c r="C20" s="585" t="s">
        <v>543</v>
      </c>
      <c r="E20" s="709" t="s">
        <v>544</v>
      </c>
      <c r="F20" s="600"/>
      <c r="G20" s="600"/>
      <c r="H20" s="600"/>
    </row>
    <row r="22" spans="2:8" x14ac:dyDescent="0.2">
      <c r="B22" s="38" t="s">
        <v>547</v>
      </c>
      <c r="E22" s="38" t="s">
        <v>41</v>
      </c>
    </row>
    <row r="23" spans="2:8" ht="39.75" customHeight="1" x14ac:dyDescent="0.2">
      <c r="B23" s="145">
        <f>_xlfn.T.DIST.2T(1.73960671564883,F13)</f>
        <v>0.10000000187642874</v>
      </c>
      <c r="C23" s="585" t="s">
        <v>545</v>
      </c>
      <c r="E23" s="709" t="s">
        <v>546</v>
      </c>
      <c r="F23" s="600"/>
      <c r="G23" s="600"/>
      <c r="H23" s="600"/>
    </row>
    <row r="25" spans="2:8" x14ac:dyDescent="0.2">
      <c r="B25" s="38" t="s">
        <v>548</v>
      </c>
      <c r="E25" s="38" t="s">
        <v>41</v>
      </c>
    </row>
    <row r="26" spans="2:8" ht="38.25" customHeight="1" x14ac:dyDescent="0.2">
      <c r="B26" s="145">
        <f>_xlfn.T.INV.2T(F10*2,F13)</f>
        <v>1.7396067156488302</v>
      </c>
      <c r="C26" s="585" t="s">
        <v>541</v>
      </c>
      <c r="E26" s="660" t="s">
        <v>84</v>
      </c>
      <c r="F26" s="600"/>
      <c r="G26" s="600"/>
      <c r="H26" s="600"/>
    </row>
    <row r="27" spans="2:8" x14ac:dyDescent="0.2">
      <c r="E27" s="38" t="s">
        <v>81</v>
      </c>
    </row>
  </sheetData>
  <mergeCells count="6">
    <mergeCell ref="E23:H23"/>
    <mergeCell ref="E26:H26"/>
    <mergeCell ref="D4:F4"/>
    <mergeCell ref="C5:F5"/>
    <mergeCell ref="E16:H16"/>
    <mergeCell ref="E20:H20"/>
  </mergeCells>
  <phoneticPr fontId="9" type="noConversion"/>
  <pageMargins left="0.78740157499999996" right="0.78740157499999996" top="0.984251969" bottom="0.984251969" header="0.4921259845" footer="0.492125984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3.7109375" customWidth="1"/>
    <col min="2" max="2" width="26.28515625" customWidth="1"/>
    <col min="3" max="3" width="30" customWidth="1"/>
    <col min="4" max="4" width="4.28515625" customWidth="1"/>
    <col min="5" max="5" width="29.140625" customWidth="1"/>
    <col min="6" max="6" width="18" customWidth="1"/>
    <col min="7" max="7" width="14.5703125" customWidth="1"/>
    <col min="8" max="8" width="19.140625" customWidth="1"/>
  </cols>
  <sheetData>
    <row r="1" spans="2:6" ht="15.75" x14ac:dyDescent="0.25">
      <c r="B1" s="10" t="s">
        <v>8</v>
      </c>
      <c r="C1" s="11"/>
      <c r="D1" s="12" t="s">
        <v>549</v>
      </c>
      <c r="E1" s="11"/>
      <c r="F1" s="61"/>
    </row>
    <row r="2" spans="2:6" ht="15.75" x14ac:dyDescent="0.25">
      <c r="B2" s="10" t="s">
        <v>16</v>
      </c>
      <c r="C2" s="11"/>
      <c r="D2" s="12" t="s">
        <v>549</v>
      </c>
      <c r="E2" s="11"/>
      <c r="F2" s="61"/>
    </row>
    <row r="3" spans="2:6" ht="15" x14ac:dyDescent="0.2">
      <c r="B3" s="10" t="s">
        <v>17</v>
      </c>
      <c r="C3" s="11"/>
      <c r="D3" s="10" t="s">
        <v>18</v>
      </c>
      <c r="E3" s="11"/>
      <c r="F3" s="61"/>
    </row>
    <row r="4" spans="2:6" ht="15" x14ac:dyDescent="0.2">
      <c r="B4" s="10" t="s">
        <v>19</v>
      </c>
      <c r="C4" s="11"/>
      <c r="D4" s="612" t="s">
        <v>550</v>
      </c>
      <c r="E4" s="640"/>
      <c r="F4" s="600"/>
    </row>
    <row r="5" spans="2:6" ht="44.25" customHeight="1" x14ac:dyDescent="0.2">
      <c r="B5" s="13" t="s">
        <v>20</v>
      </c>
      <c r="C5" s="611" t="s">
        <v>64</v>
      </c>
      <c r="D5" s="635"/>
      <c r="E5" s="635"/>
      <c r="F5" s="600"/>
    </row>
    <row r="8" spans="2:6" ht="15" x14ac:dyDescent="0.25">
      <c r="B8" s="592" t="s">
        <v>586</v>
      </c>
    </row>
  </sheetData>
  <mergeCells count="2">
    <mergeCell ref="D4:F4"/>
    <mergeCell ref="C5:F5"/>
  </mergeCells>
  <pageMargins left="0.78740157499999996" right="0.78740157499999996" top="0.984251969" bottom="0.984251969" header="0.4921259845" footer="0.492125984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B1" workbookViewId="0">
      <selection activeCell="J17" sqref="J17"/>
    </sheetView>
  </sheetViews>
  <sheetFormatPr baseColWidth="10" defaultRowHeight="12.75" x14ac:dyDescent="0.2"/>
  <cols>
    <col min="1" max="1" width="3.7109375" customWidth="1"/>
    <col min="2" max="2" width="27" customWidth="1"/>
    <col min="3" max="3" width="26.7109375" customWidth="1"/>
    <col min="4" max="4" width="2.7109375" customWidth="1"/>
    <col min="5" max="5" width="27.42578125" customWidth="1"/>
    <col min="6" max="6" width="19.7109375" customWidth="1"/>
  </cols>
  <sheetData>
    <row r="1" spans="1:9" ht="15.75" x14ac:dyDescent="0.25">
      <c r="B1" s="10" t="s">
        <v>8</v>
      </c>
      <c r="C1" s="11"/>
      <c r="D1" s="12" t="s">
        <v>551</v>
      </c>
      <c r="E1" s="11"/>
      <c r="F1" s="61"/>
    </row>
    <row r="2" spans="1:9" ht="15.75" x14ac:dyDescent="0.25">
      <c r="B2" s="10" t="s">
        <v>16</v>
      </c>
      <c r="C2" s="11"/>
      <c r="D2" s="12" t="s">
        <v>551</v>
      </c>
      <c r="E2" s="11"/>
      <c r="F2" s="61"/>
    </row>
    <row r="3" spans="1:9" ht="15" x14ac:dyDescent="0.2">
      <c r="B3" s="10" t="s">
        <v>17</v>
      </c>
      <c r="C3" s="11"/>
      <c r="D3" s="10" t="s">
        <v>18</v>
      </c>
      <c r="E3" s="11"/>
      <c r="F3" s="61"/>
    </row>
    <row r="4" spans="1:9" ht="15" x14ac:dyDescent="0.2">
      <c r="B4" s="10" t="s">
        <v>19</v>
      </c>
      <c r="C4" s="11"/>
      <c r="D4" s="612" t="s">
        <v>552</v>
      </c>
      <c r="E4" s="640"/>
      <c r="F4" s="600"/>
    </row>
    <row r="5" spans="1:9" ht="81" customHeight="1" x14ac:dyDescent="0.2">
      <c r="B5" s="13" t="s">
        <v>20</v>
      </c>
      <c r="C5" s="611" t="s">
        <v>554</v>
      </c>
      <c r="D5" s="635"/>
      <c r="E5" s="635"/>
      <c r="F5" s="600"/>
    </row>
    <row r="8" spans="1:9" ht="13.5" thickBot="1" x14ac:dyDescent="0.25">
      <c r="B8" s="22"/>
      <c r="C8" s="22"/>
      <c r="E8" s="22"/>
      <c r="F8" s="22"/>
    </row>
    <row r="9" spans="1:9" ht="18.75" x14ac:dyDescent="0.35">
      <c r="A9" s="17"/>
      <c r="B9" s="133" t="s">
        <v>65</v>
      </c>
      <c r="C9" s="134" t="s">
        <v>66</v>
      </c>
      <c r="D9" s="24"/>
      <c r="E9" s="139" t="s">
        <v>69</v>
      </c>
      <c r="F9" s="140" t="s">
        <v>70</v>
      </c>
    </row>
    <row r="10" spans="1:9" ht="13.5" x14ac:dyDescent="0.25">
      <c r="A10" s="17"/>
      <c r="B10" s="132">
        <v>7</v>
      </c>
      <c r="C10" s="131">
        <v>2</v>
      </c>
      <c r="D10" s="24"/>
      <c r="E10" s="95" t="s">
        <v>67</v>
      </c>
      <c r="F10" s="136">
        <f>SUM(B10:B19)/COUNT(B10:B19)</f>
        <v>6.6</v>
      </c>
    </row>
    <row r="11" spans="1:9" ht="13.5" x14ac:dyDescent="0.25">
      <c r="A11" s="17"/>
      <c r="B11" s="45">
        <v>8</v>
      </c>
      <c r="C11" s="33">
        <v>4</v>
      </c>
      <c r="D11" s="24"/>
      <c r="E11" s="138" t="s">
        <v>68</v>
      </c>
      <c r="F11" s="137">
        <f>SUM(C10:C19)/COUNT($C$10:$C$19)</f>
        <v>4.333333333333333</v>
      </c>
      <c r="I11" s="129"/>
    </row>
    <row r="12" spans="1:9" x14ac:dyDescent="0.2">
      <c r="A12" s="17"/>
      <c r="B12" s="44">
        <v>8</v>
      </c>
      <c r="C12" s="32">
        <v>3</v>
      </c>
      <c r="D12" s="24"/>
      <c r="E12" s="95" t="s">
        <v>60</v>
      </c>
      <c r="F12" s="143">
        <v>0.05</v>
      </c>
    </row>
    <row r="13" spans="1:9" ht="13.5" x14ac:dyDescent="0.25">
      <c r="A13" s="17"/>
      <c r="B13" s="45">
        <v>9</v>
      </c>
      <c r="C13" s="33">
        <v>5</v>
      </c>
      <c r="D13" s="24"/>
      <c r="E13" s="138" t="s">
        <v>61</v>
      </c>
      <c r="F13" s="18">
        <f>COUNT(B10:B19)</f>
        <v>10</v>
      </c>
    </row>
    <row r="14" spans="1:9" ht="13.5" x14ac:dyDescent="0.25">
      <c r="A14" s="17"/>
      <c r="B14" s="44">
        <v>6</v>
      </c>
      <c r="C14" s="32">
        <v>2</v>
      </c>
      <c r="D14" s="24"/>
      <c r="E14" s="95" t="s">
        <v>62</v>
      </c>
      <c r="F14" s="17">
        <f>COUNT(C10:C19)</f>
        <v>9</v>
      </c>
    </row>
    <row r="15" spans="1:9" ht="15.75" x14ac:dyDescent="0.3">
      <c r="A15" s="17"/>
      <c r="B15" s="45">
        <v>8</v>
      </c>
      <c r="C15" s="33">
        <v>9</v>
      </c>
      <c r="D15" s="24"/>
      <c r="E15" s="141" t="s">
        <v>63</v>
      </c>
      <c r="F15" s="18">
        <f>F13+F14-2</f>
        <v>17</v>
      </c>
      <c r="H15" s="130"/>
    </row>
    <row r="16" spans="1:9" ht="13.5" thickBot="1" x14ac:dyDescent="0.25">
      <c r="A16" s="17"/>
      <c r="B16" s="44">
        <v>4</v>
      </c>
      <c r="C16" s="32">
        <v>5</v>
      </c>
      <c r="E16" s="142" t="s">
        <v>71</v>
      </c>
      <c r="F16" s="22">
        <v>2.3904919699999998</v>
      </c>
      <c r="G16" s="53"/>
    </row>
    <row r="17" spans="1:6" x14ac:dyDescent="0.2">
      <c r="A17" s="17"/>
      <c r="B17" s="45">
        <v>7</v>
      </c>
      <c r="C17" s="33">
        <v>6</v>
      </c>
    </row>
    <row r="18" spans="1:6" x14ac:dyDescent="0.2">
      <c r="A18" s="17"/>
      <c r="B18" s="44">
        <v>6</v>
      </c>
      <c r="C18" s="32">
        <v>3</v>
      </c>
    </row>
    <row r="19" spans="1:6" ht="13.5" thickBot="1" x14ac:dyDescent="0.25">
      <c r="A19" s="17"/>
      <c r="B19" s="46">
        <v>3</v>
      </c>
      <c r="C19" s="56"/>
      <c r="F19" s="129"/>
    </row>
    <row r="21" spans="1:6" x14ac:dyDescent="0.2">
      <c r="B21" s="38" t="s">
        <v>542</v>
      </c>
    </row>
    <row r="22" spans="1:6" x14ac:dyDescent="0.2">
      <c r="B22" s="135">
        <f>_xlfn.T.TEST(B10:B19,C10:C19,1,2)</f>
        <v>1.4336159764646996E-2</v>
      </c>
      <c r="C22" s="586" t="s">
        <v>553</v>
      </c>
    </row>
    <row r="24" spans="1:6" x14ac:dyDescent="0.2">
      <c r="B24" s="38" t="s">
        <v>72</v>
      </c>
    </row>
    <row r="25" spans="1:6" x14ac:dyDescent="0.2">
      <c r="B25" s="199" t="s">
        <v>555</v>
      </c>
    </row>
    <row r="26" spans="1:6" x14ac:dyDescent="0.2">
      <c r="B26" s="199" t="s">
        <v>556</v>
      </c>
    </row>
    <row r="28" spans="1:6" x14ac:dyDescent="0.2">
      <c r="B28" s="71" t="str">
        <f>IF(F12&gt;B22,"Nullhypothese abgelehnt","Nullhypothese angenommen")</f>
        <v>Nullhypothese abgelehnt</v>
      </c>
    </row>
  </sheetData>
  <mergeCells count="2">
    <mergeCell ref="D4:F4"/>
    <mergeCell ref="C5:F5"/>
  </mergeCells>
  <phoneticPr fontId="5" type="noConversion"/>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B1" workbookViewId="0">
      <selection activeCell="D30" sqref="D30"/>
    </sheetView>
  </sheetViews>
  <sheetFormatPr baseColWidth="10" defaultRowHeight="12.75" x14ac:dyDescent="0.2"/>
  <cols>
    <col min="1" max="1" width="3.5703125" customWidth="1"/>
    <col min="2" max="2" width="27.140625" customWidth="1"/>
    <col min="3" max="3" width="16.28515625" customWidth="1"/>
    <col min="4" max="4" width="22" customWidth="1"/>
    <col min="5" max="5" width="30.85546875" customWidth="1"/>
    <col min="6" max="6" width="14.28515625" customWidth="1"/>
    <col min="7" max="7" width="14.7109375" customWidth="1"/>
  </cols>
  <sheetData>
    <row r="1" spans="1:8" ht="18" customHeight="1" x14ac:dyDescent="0.25">
      <c r="B1" s="62" t="s">
        <v>8</v>
      </c>
      <c r="C1" s="11"/>
      <c r="D1" s="12" t="s">
        <v>408</v>
      </c>
      <c r="E1" s="11"/>
      <c r="F1" s="61"/>
      <c r="G1" s="61"/>
      <c r="H1" s="61"/>
    </row>
    <row r="2" spans="1:8" ht="18" customHeight="1" x14ac:dyDescent="0.25">
      <c r="B2" s="62" t="s">
        <v>16</v>
      </c>
      <c r="C2" s="11"/>
      <c r="D2" s="12" t="s">
        <v>409</v>
      </c>
      <c r="E2" s="11"/>
      <c r="F2" s="61"/>
      <c r="G2" s="61"/>
      <c r="H2" s="61"/>
    </row>
    <row r="3" spans="1:8" ht="18" customHeight="1" x14ac:dyDescent="0.2">
      <c r="B3" s="62" t="s">
        <v>17</v>
      </c>
      <c r="C3" s="11"/>
      <c r="D3" s="10" t="s">
        <v>18</v>
      </c>
      <c r="E3" s="11"/>
      <c r="F3" s="61"/>
      <c r="G3" s="61"/>
      <c r="H3" s="61"/>
    </row>
    <row r="4" spans="1:8" ht="21.75" customHeight="1" x14ac:dyDescent="0.2">
      <c r="B4" s="62" t="s">
        <v>19</v>
      </c>
      <c r="C4" s="11"/>
      <c r="D4" s="612" t="s">
        <v>410</v>
      </c>
      <c r="E4" s="600"/>
      <c r="F4" s="600"/>
      <c r="G4" s="600"/>
      <c r="H4" s="600"/>
    </row>
    <row r="5" spans="1:8" ht="96" customHeight="1" x14ac:dyDescent="0.2">
      <c r="B5" s="13" t="s">
        <v>20</v>
      </c>
      <c r="C5" s="611" t="s">
        <v>411</v>
      </c>
      <c r="D5" s="635"/>
      <c r="E5" s="635"/>
      <c r="F5" s="600"/>
      <c r="G5" s="600"/>
      <c r="H5" s="600"/>
    </row>
    <row r="8" spans="1:8" ht="26.25" customHeight="1" x14ac:dyDescent="0.2">
      <c r="B8" s="636" t="s">
        <v>31</v>
      </c>
      <c r="C8" s="637"/>
      <c r="D8" s="637"/>
      <c r="E8" s="637"/>
    </row>
    <row r="9" spans="1:8" ht="13.5" thickBot="1" x14ac:dyDescent="0.25">
      <c r="B9" s="22"/>
      <c r="C9" s="22"/>
      <c r="D9" s="22"/>
      <c r="E9" s="22"/>
    </row>
    <row r="10" spans="1:8" ht="19.5" customHeight="1" x14ac:dyDescent="0.2">
      <c r="A10" s="17"/>
      <c r="B10" s="67" t="s">
        <v>27</v>
      </c>
      <c r="C10" s="68" t="s">
        <v>0</v>
      </c>
      <c r="D10" s="69" t="s">
        <v>1</v>
      </c>
      <c r="E10" s="64"/>
    </row>
    <row r="11" spans="1:8" x14ac:dyDescent="0.2">
      <c r="A11" s="17"/>
      <c r="B11" s="24" t="s">
        <v>28</v>
      </c>
      <c r="C11" s="44">
        <v>66</v>
      </c>
      <c r="D11" s="24"/>
      <c r="E11" s="17"/>
    </row>
    <row r="12" spans="1:8" x14ac:dyDescent="0.2">
      <c r="A12" s="17"/>
      <c r="B12" s="25" t="s">
        <v>29</v>
      </c>
      <c r="C12" s="45">
        <v>100</v>
      </c>
      <c r="D12" s="25"/>
      <c r="E12" s="18"/>
    </row>
    <row r="13" spans="1:8" x14ac:dyDescent="0.2">
      <c r="A13" s="17"/>
      <c r="B13" s="24" t="s">
        <v>30</v>
      </c>
      <c r="C13" s="44">
        <v>0.5</v>
      </c>
      <c r="D13" s="24"/>
      <c r="E13" s="17"/>
    </row>
    <row r="14" spans="1:8" x14ac:dyDescent="0.2">
      <c r="A14" s="17"/>
      <c r="B14" s="25" t="s">
        <v>2</v>
      </c>
      <c r="C14" s="25" t="b">
        <v>1</v>
      </c>
      <c r="D14" s="65">
        <f>_xlfn.BINOM.DIST(C11,C12,C13,C14)</f>
        <v>0.99956314008154379</v>
      </c>
      <c r="E14" s="20" t="s">
        <v>412</v>
      </c>
    </row>
    <row r="15" spans="1:8" ht="13.5" customHeight="1" thickBot="1" x14ac:dyDescent="0.25">
      <c r="A15" s="17"/>
      <c r="B15" s="27" t="s">
        <v>3</v>
      </c>
      <c r="C15" s="27" t="b">
        <v>0</v>
      </c>
      <c r="D15" s="66">
        <f>_xlfn.BINOM.DIST(C11,C12,C13,C15)</f>
        <v>4.5810527728724047E-4</v>
      </c>
      <c r="E15" s="21" t="s">
        <v>413</v>
      </c>
    </row>
    <row r="16" spans="1:8" ht="23.25" customHeight="1" x14ac:dyDescent="0.2">
      <c r="B16" s="1"/>
      <c r="C16" s="1"/>
      <c r="D16" s="4"/>
      <c r="E16" s="3"/>
    </row>
    <row r="17" spans="2:5" x14ac:dyDescent="0.2">
      <c r="B17" s="70" t="s">
        <v>4</v>
      </c>
      <c r="C17" s="1"/>
      <c r="D17" s="1"/>
      <c r="E17" s="1"/>
    </row>
    <row r="18" spans="2:5" x14ac:dyDescent="0.2">
      <c r="B18" s="1" t="str">
        <f>"Die Wahrscheinlichkeit, das sie bei 100 Befragten bis zu bzw. höchstens "&amp;C11&amp;" Ja-Antworten erhalten beträgt "&amp;TEXT(D14,"#%")</f>
        <v>Die Wahrscheinlichkeit, das sie bei 100 Befragten bis zu bzw. höchstens 66 Ja-Antworten erhalten beträgt 100%</v>
      </c>
      <c r="C18" s="1"/>
      <c r="D18" s="1"/>
      <c r="E18" s="1"/>
    </row>
    <row r="19" spans="2:5" x14ac:dyDescent="0.2">
      <c r="B19" s="1" t="str">
        <f>"Die Wahrscheinlichkeit, das Sie bei 100 Befragten genau "&amp;C11&amp;" Ja-Antworten erhalten, beträgt "&amp;TEXT(D15,"0,##%")</f>
        <v>Die Wahrscheinlichkeit, das Sie bei 100 Befragten genau 66 Ja-Antworten erhalten, beträgt 0,05%</v>
      </c>
      <c r="C19" s="1"/>
      <c r="D19" s="1"/>
      <c r="E19" s="1"/>
    </row>
    <row r="21" spans="2:5" x14ac:dyDescent="0.2">
      <c r="D21" s="63"/>
      <c r="E21" s="63"/>
    </row>
    <row r="22" spans="2:5" ht="38.25" customHeight="1" x14ac:dyDescent="0.2">
      <c r="B22" s="636" t="s">
        <v>366</v>
      </c>
      <c r="C22" s="637"/>
      <c r="D22" s="637"/>
      <c r="E22" s="637"/>
    </row>
    <row r="23" spans="2:5" ht="13.5" thickBot="1" x14ac:dyDescent="0.25">
      <c r="D23" s="63"/>
    </row>
    <row r="24" spans="2:5" x14ac:dyDescent="0.2">
      <c r="B24" s="67" t="s">
        <v>27</v>
      </c>
      <c r="C24" s="68" t="s">
        <v>0</v>
      </c>
      <c r="D24" s="69" t="s">
        <v>1</v>
      </c>
      <c r="E24" s="64"/>
    </row>
    <row r="25" spans="2:5" x14ac:dyDescent="0.2">
      <c r="B25" s="24" t="s">
        <v>28</v>
      </c>
      <c r="C25" s="44">
        <v>30</v>
      </c>
      <c r="D25" s="24"/>
      <c r="E25" s="17"/>
    </row>
    <row r="26" spans="2:5" x14ac:dyDescent="0.2">
      <c r="B26" s="25" t="s">
        <v>29</v>
      </c>
      <c r="C26" s="45">
        <v>2000</v>
      </c>
      <c r="D26" s="25"/>
      <c r="E26" s="18"/>
    </row>
    <row r="27" spans="2:5" x14ac:dyDescent="0.2">
      <c r="B27" s="24" t="s">
        <v>30</v>
      </c>
      <c r="C27" s="44">
        <v>0.02</v>
      </c>
      <c r="D27" s="24"/>
      <c r="E27" s="17"/>
    </row>
    <row r="28" spans="2:5" x14ac:dyDescent="0.2">
      <c r="B28" s="25" t="s">
        <v>2</v>
      </c>
      <c r="C28" s="25" t="b">
        <v>1</v>
      </c>
      <c r="D28" s="65">
        <f>_xlfn.BINOM.DIST(C25,C26,C27,C28)</f>
        <v>5.9844325516284005E-2</v>
      </c>
      <c r="E28" s="20" t="s">
        <v>414</v>
      </c>
    </row>
    <row r="29" spans="2:5" ht="13.5" thickBot="1" x14ac:dyDescent="0.25">
      <c r="B29" s="27" t="s">
        <v>3</v>
      </c>
      <c r="C29" s="27" t="b">
        <v>0</v>
      </c>
      <c r="D29" s="66">
        <f>_xlfn.BINOM.DIST(C25,C26,C27,C29)</f>
        <v>1.8137684822585588E-2</v>
      </c>
      <c r="E29" s="21" t="s">
        <v>415</v>
      </c>
    </row>
    <row r="31" spans="2:5" x14ac:dyDescent="0.2">
      <c r="B31" s="70" t="s">
        <v>4</v>
      </c>
      <c r="C31" s="1"/>
      <c r="D31" s="1"/>
      <c r="E31" s="1"/>
    </row>
    <row r="32" spans="2:5" x14ac:dyDescent="0.2">
      <c r="B32" s="1" t="str">
        <f>"Die Wahrscheinlichkeit, das Sie bei 2000 verpackten Tabletten bis zu bzw. höchstens "&amp;C25&amp;" fehlerhafte Verpackungen erhalten, beträgt "&amp;TEXT(D28,"#%")</f>
        <v>Die Wahrscheinlichkeit, das Sie bei 2000 verpackten Tabletten bis zu bzw. höchstens 30 fehlerhafte Verpackungen erhalten, beträgt 6%</v>
      </c>
      <c r="C32" s="1"/>
      <c r="D32" s="1"/>
      <c r="E32" s="1"/>
    </row>
    <row r="33" spans="2:5" x14ac:dyDescent="0.2">
      <c r="B33" s="1" t="str">
        <f>"Die Wahrscheinlichkeit, das Sie bei 2000 verpackten Tabletten genau "&amp;C25&amp;" fehlerhafte Verpackungen erhalten, beträgt "&amp;TEXT(D29,"0,##%")</f>
        <v>Die Wahrscheinlichkeit, das Sie bei 2000 verpackten Tabletten genau 30 fehlerhafte Verpackungen erhalten, beträgt 1,81%</v>
      </c>
      <c r="C33" s="1"/>
      <c r="D33" s="1"/>
      <c r="E33" s="1"/>
    </row>
  </sheetData>
  <mergeCells count="4">
    <mergeCell ref="D4:H4"/>
    <mergeCell ref="C5:H5"/>
    <mergeCell ref="B8:E8"/>
    <mergeCell ref="B22:E22"/>
  </mergeCells>
  <phoneticPr fontId="5" type="noConversion"/>
  <pageMargins left="0.78740157499999996" right="0.78740157499999996" top="0.984251969" bottom="0.984251969" header="0.4921259845" footer="0.4921259845"/>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topLeftCell="B1" workbookViewId="0">
      <selection activeCell="B24" sqref="B24"/>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9" ht="18" customHeight="1" x14ac:dyDescent="0.25">
      <c r="B1" s="10" t="s">
        <v>8</v>
      </c>
      <c r="C1" s="11"/>
      <c r="D1" s="12" t="s">
        <v>557</v>
      </c>
      <c r="E1" s="11"/>
      <c r="F1" s="61"/>
    </row>
    <row r="2" spans="2:9" ht="18" customHeight="1" x14ac:dyDescent="0.25">
      <c r="B2" s="10" t="s">
        <v>16</v>
      </c>
      <c r="C2" s="11"/>
      <c r="D2" s="12" t="s">
        <v>558</v>
      </c>
      <c r="E2" s="11"/>
      <c r="F2" s="61"/>
    </row>
    <row r="3" spans="2:9" ht="18" customHeight="1" x14ac:dyDescent="0.2">
      <c r="B3" s="10" t="s">
        <v>17</v>
      </c>
      <c r="C3" s="11"/>
      <c r="D3" s="10" t="s">
        <v>18</v>
      </c>
      <c r="E3" s="11"/>
      <c r="F3" s="61"/>
    </row>
    <row r="4" spans="2:9" ht="18" customHeight="1" x14ac:dyDescent="0.2">
      <c r="B4" s="10" t="s">
        <v>19</v>
      </c>
      <c r="C4" s="11"/>
      <c r="D4" s="612" t="s">
        <v>559</v>
      </c>
      <c r="E4" s="640"/>
      <c r="F4" s="600"/>
    </row>
    <row r="5" spans="2:9" ht="41.25" customHeight="1" x14ac:dyDescent="0.2">
      <c r="B5" s="13" t="s">
        <v>20</v>
      </c>
      <c r="C5" s="611" t="s">
        <v>560</v>
      </c>
      <c r="D5" s="635"/>
      <c r="E5" s="635"/>
      <c r="F5" s="600"/>
    </row>
    <row r="7" spans="2:9" ht="13.5" thickBot="1" x14ac:dyDescent="0.25"/>
    <row r="8" spans="2:9" ht="18.75" x14ac:dyDescent="0.35">
      <c r="B8" s="133" t="s">
        <v>65</v>
      </c>
      <c r="C8" s="134" t="s">
        <v>66</v>
      </c>
      <c r="D8" s="24"/>
      <c r="E8" s="139" t="s">
        <v>69</v>
      </c>
      <c r="F8" s="140" t="s">
        <v>70</v>
      </c>
    </row>
    <row r="9" spans="2:9" ht="13.5" x14ac:dyDescent="0.25">
      <c r="B9" s="132">
        <v>7</v>
      </c>
      <c r="C9" s="131">
        <v>2</v>
      </c>
      <c r="D9" s="24"/>
      <c r="E9" s="95" t="s">
        <v>67</v>
      </c>
      <c r="F9" s="136">
        <f>SUM(B9:B18)/COUNT(B9:B18)</f>
        <v>6.6</v>
      </c>
      <c r="G9" s="129" t="s">
        <v>75</v>
      </c>
    </row>
    <row r="10" spans="2:9" ht="13.5" x14ac:dyDescent="0.25">
      <c r="B10" s="45">
        <v>8</v>
      </c>
      <c r="C10" s="33">
        <v>4</v>
      </c>
      <c r="D10" s="24"/>
      <c r="E10" s="138" t="s">
        <v>68</v>
      </c>
      <c r="F10" s="137">
        <f>SUM(C9:C18)/COUNT(C9:C18)</f>
        <v>4.333333333333333</v>
      </c>
      <c r="G10" s="129" t="s">
        <v>393</v>
      </c>
      <c r="I10" s="129"/>
    </row>
    <row r="11" spans="2:9" x14ac:dyDescent="0.2">
      <c r="B11" s="44">
        <v>8</v>
      </c>
      <c r="C11" s="32">
        <v>3</v>
      </c>
      <c r="D11" s="24"/>
      <c r="E11" s="95" t="s">
        <v>60</v>
      </c>
      <c r="F11" s="143"/>
      <c r="G11" s="150"/>
    </row>
    <row r="12" spans="2:9" ht="13.5" x14ac:dyDescent="0.25">
      <c r="B12" s="45">
        <v>9</v>
      </c>
      <c r="C12" s="33">
        <v>5</v>
      </c>
      <c r="D12" s="24"/>
      <c r="E12" s="138" t="s">
        <v>61</v>
      </c>
      <c r="F12" s="18">
        <f>COUNT(B9:B18)</f>
        <v>10</v>
      </c>
      <c r="G12" s="150" t="s">
        <v>77</v>
      </c>
    </row>
    <row r="13" spans="2:9" ht="13.5" x14ac:dyDescent="0.25">
      <c r="B13" s="44">
        <v>6</v>
      </c>
      <c r="C13" s="32">
        <v>2</v>
      </c>
      <c r="D13" s="24"/>
      <c r="E13" s="95" t="s">
        <v>62</v>
      </c>
      <c r="F13" s="17">
        <f>COUNT(C9:C18)</f>
        <v>9</v>
      </c>
      <c r="G13" s="151" t="s">
        <v>78</v>
      </c>
    </row>
    <row r="14" spans="2:9" ht="15.75" x14ac:dyDescent="0.3">
      <c r="B14" s="45">
        <v>8</v>
      </c>
      <c r="C14" s="33">
        <v>9</v>
      </c>
      <c r="D14" s="24"/>
      <c r="E14" s="141" t="s">
        <v>63</v>
      </c>
      <c r="F14" s="18">
        <f>F12+F13-2</f>
        <v>17</v>
      </c>
      <c r="G14" s="129" t="s">
        <v>79</v>
      </c>
      <c r="H14" s="130"/>
    </row>
    <row r="15" spans="2:9" x14ac:dyDescent="0.2">
      <c r="B15" s="44">
        <v>4</v>
      </c>
      <c r="C15" s="32">
        <v>5</v>
      </c>
      <c r="E15" s="147" t="s">
        <v>71</v>
      </c>
      <c r="F15" s="17">
        <v>2.3904919699999998</v>
      </c>
      <c r="G15" s="152" t="s">
        <v>76</v>
      </c>
    </row>
    <row r="16" spans="2:9" ht="13.5" thickBot="1" x14ac:dyDescent="0.25">
      <c r="B16" s="45">
        <v>7</v>
      </c>
      <c r="C16" s="33">
        <v>6</v>
      </c>
      <c r="E16" s="148" t="s">
        <v>73</v>
      </c>
      <c r="F16" s="149">
        <v>1.7396067156488346</v>
      </c>
      <c r="G16" s="152"/>
    </row>
    <row r="17" spans="2:8" ht="15" customHeight="1" x14ac:dyDescent="0.2">
      <c r="B17" s="44">
        <v>6</v>
      </c>
      <c r="C17" s="32">
        <v>3</v>
      </c>
      <c r="E17" s="646" t="s">
        <v>74</v>
      </c>
      <c r="F17" s="600"/>
      <c r="G17" s="600"/>
      <c r="H17" s="600"/>
    </row>
    <row r="18" spans="2:8" ht="13.5" thickBot="1" x14ac:dyDescent="0.25">
      <c r="B18" s="46">
        <v>3</v>
      </c>
      <c r="C18" s="56"/>
      <c r="E18" t="s">
        <v>80</v>
      </c>
      <c r="F18" s="129"/>
    </row>
    <row r="19" spans="2:8" x14ac:dyDescent="0.2">
      <c r="B19" s="39"/>
      <c r="C19" s="39"/>
      <c r="F19" s="129"/>
    </row>
    <row r="20" spans="2:8" x14ac:dyDescent="0.2">
      <c r="B20" s="38" t="s">
        <v>542</v>
      </c>
      <c r="E20" s="38" t="s">
        <v>72</v>
      </c>
    </row>
    <row r="21" spans="2:8" ht="39.75" customHeight="1" x14ac:dyDescent="0.2">
      <c r="B21" s="145">
        <f>_xlfn.T.TEST(B9:B18,C9:C18,1,2)</f>
        <v>1.4336159764646996E-2</v>
      </c>
      <c r="C21" s="585" t="s">
        <v>561</v>
      </c>
      <c r="E21" s="709" t="s">
        <v>564</v>
      </c>
      <c r="F21" s="600"/>
      <c r="G21" s="600"/>
      <c r="H21" s="600"/>
    </row>
    <row r="23" spans="2:8" x14ac:dyDescent="0.2">
      <c r="B23" s="38" t="s">
        <v>547</v>
      </c>
      <c r="E23" s="38" t="s">
        <v>41</v>
      </c>
    </row>
    <row r="24" spans="2:8" ht="38.25" customHeight="1" x14ac:dyDescent="0.2">
      <c r="B24" s="145">
        <f>_xlfn.T.DIST.2T(F16,F14)</f>
        <v>0.10000000187642774</v>
      </c>
      <c r="C24" s="585" t="s">
        <v>562</v>
      </c>
      <c r="E24" s="709" t="s">
        <v>563</v>
      </c>
      <c r="F24" s="600"/>
      <c r="G24" s="600"/>
      <c r="H24" s="600"/>
    </row>
    <row r="26" spans="2:8" x14ac:dyDescent="0.2">
      <c r="B26" s="39"/>
      <c r="C26" s="39"/>
      <c r="F26" s="129"/>
    </row>
    <row r="27" spans="2:8" x14ac:dyDescent="0.2">
      <c r="B27" s="39"/>
      <c r="C27" s="39"/>
      <c r="F27" s="129"/>
    </row>
    <row r="28" spans="2:8" x14ac:dyDescent="0.2">
      <c r="B28" s="39"/>
      <c r="C28" s="39"/>
      <c r="F28" s="129"/>
    </row>
  </sheetData>
  <mergeCells count="5">
    <mergeCell ref="E24:H24"/>
    <mergeCell ref="D4:F4"/>
    <mergeCell ref="C5:F5"/>
    <mergeCell ref="E21:H21"/>
    <mergeCell ref="E17:H17"/>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topLeftCell="B1" workbookViewId="0">
      <selection activeCell="B8" sqref="B8"/>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6" ht="18" customHeight="1" x14ac:dyDescent="0.25">
      <c r="B1" s="10" t="s">
        <v>8</v>
      </c>
      <c r="C1" s="11"/>
      <c r="D1" s="12" t="s">
        <v>565</v>
      </c>
      <c r="E1" s="11"/>
      <c r="F1" s="61"/>
    </row>
    <row r="2" spans="2:6" ht="18" customHeight="1" x14ac:dyDescent="0.25">
      <c r="B2" s="10" t="s">
        <v>16</v>
      </c>
      <c r="C2" s="11"/>
      <c r="D2" s="12" t="s">
        <v>566</v>
      </c>
      <c r="E2" s="11"/>
      <c r="F2" s="61"/>
    </row>
    <row r="3" spans="2:6" ht="18" customHeight="1" x14ac:dyDescent="0.2">
      <c r="B3" s="10" t="s">
        <v>17</v>
      </c>
      <c r="C3" s="11"/>
      <c r="D3" s="10" t="s">
        <v>18</v>
      </c>
      <c r="E3" s="11"/>
      <c r="F3" s="61"/>
    </row>
    <row r="4" spans="2:6" ht="18" customHeight="1" x14ac:dyDescent="0.2">
      <c r="B4" s="10" t="s">
        <v>19</v>
      </c>
      <c r="C4" s="11"/>
      <c r="D4" s="612" t="s">
        <v>567</v>
      </c>
      <c r="E4" s="640"/>
      <c r="F4" s="600"/>
    </row>
    <row r="5" spans="2:6" ht="69" customHeight="1" x14ac:dyDescent="0.2">
      <c r="B5" s="13" t="s">
        <v>20</v>
      </c>
      <c r="C5" s="611" t="s">
        <v>568</v>
      </c>
      <c r="D5" s="635"/>
      <c r="E5" s="635"/>
      <c r="F5" s="600"/>
    </row>
    <row r="7" spans="2:6" x14ac:dyDescent="0.2">
      <c r="B7" s="39"/>
      <c r="C7" s="39"/>
      <c r="F7" s="129"/>
    </row>
    <row r="8" spans="2:6" ht="15" x14ac:dyDescent="0.25">
      <c r="B8" s="592" t="s">
        <v>587</v>
      </c>
      <c r="C8" s="39"/>
      <c r="F8" s="129"/>
    </row>
    <row r="9" spans="2:6" x14ac:dyDescent="0.2">
      <c r="B9" s="39"/>
      <c r="C9" s="39"/>
      <c r="F9" s="129"/>
    </row>
  </sheetData>
  <mergeCells count="2">
    <mergeCell ref="D4:F4"/>
    <mergeCell ref="C5:F5"/>
  </mergeCells>
  <pageMargins left="0.78740157499999996" right="0.78740157499999996" top="0.984251969" bottom="0.984251969" header="0.4921259845" footer="0.4921259845"/>
  <pageSetup paperSize="9" orientation="portrait" verticalDpi="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3.5703125" customWidth="1"/>
    <col min="2" max="2" width="27.7109375" customWidth="1"/>
    <col min="3" max="3" width="26.85546875" customWidth="1"/>
    <col min="4" max="4" width="12.85546875" customWidth="1"/>
    <col min="5" max="5" width="27.28515625" customWidth="1"/>
    <col min="6" max="6" width="20.5703125" customWidth="1"/>
    <col min="7" max="7" width="16" customWidth="1"/>
    <col min="8" max="8" width="16.140625" customWidth="1"/>
    <col min="9" max="9" width="15.28515625" customWidth="1"/>
  </cols>
  <sheetData>
    <row r="1" spans="2:6" ht="18" customHeight="1" x14ac:dyDescent="0.25">
      <c r="B1" s="10" t="s">
        <v>8</v>
      </c>
      <c r="C1" s="11"/>
      <c r="D1" s="12" t="s">
        <v>569</v>
      </c>
      <c r="E1" s="11"/>
      <c r="F1" s="61"/>
    </row>
    <row r="2" spans="2:6" ht="18" customHeight="1" x14ac:dyDescent="0.25">
      <c r="B2" s="10" t="s">
        <v>16</v>
      </c>
      <c r="C2" s="11"/>
      <c r="D2" s="12" t="s">
        <v>570</v>
      </c>
      <c r="E2" s="11"/>
      <c r="F2" s="61"/>
    </row>
    <row r="3" spans="2:6" ht="18" customHeight="1" x14ac:dyDescent="0.2">
      <c r="B3" s="10" t="s">
        <v>17</v>
      </c>
      <c r="C3" s="11"/>
      <c r="D3" s="10" t="s">
        <v>18</v>
      </c>
      <c r="E3" s="11"/>
      <c r="F3" s="61"/>
    </row>
    <row r="4" spans="2:6" ht="18" customHeight="1" x14ac:dyDescent="0.2">
      <c r="B4" s="10" t="s">
        <v>19</v>
      </c>
      <c r="C4" s="11"/>
      <c r="D4" s="612" t="s">
        <v>571</v>
      </c>
      <c r="E4" s="640"/>
      <c r="F4" s="600"/>
    </row>
    <row r="5" spans="2:6" ht="37.5" customHeight="1" x14ac:dyDescent="0.2">
      <c r="B5" s="13" t="s">
        <v>20</v>
      </c>
      <c r="C5" s="611" t="s">
        <v>560</v>
      </c>
      <c r="D5" s="635"/>
      <c r="E5" s="635"/>
      <c r="F5" s="600"/>
    </row>
    <row r="7" spans="2:6" x14ac:dyDescent="0.2">
      <c r="B7" s="39"/>
      <c r="C7" s="39"/>
      <c r="F7" s="129"/>
    </row>
    <row r="8" spans="2:6" ht="15" x14ac:dyDescent="0.25">
      <c r="B8" s="592" t="s">
        <v>587</v>
      </c>
      <c r="C8" s="39"/>
      <c r="F8" s="129"/>
    </row>
  </sheetData>
  <mergeCells count="2">
    <mergeCell ref="D4:F4"/>
    <mergeCell ref="C5:F5"/>
  </mergeCells>
  <pageMargins left="0.78740157499999996" right="0.78740157499999996" top="0.984251969" bottom="0.984251969" header="0.4921259845" footer="0.4921259845"/>
  <pageSetup paperSize="9" orientation="portrait" verticalDpi="0"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5"/>
  <sheetViews>
    <sheetView topLeftCell="B1" workbookViewId="0">
      <selection activeCell="C21" sqref="C21"/>
    </sheetView>
  </sheetViews>
  <sheetFormatPr baseColWidth="10" defaultRowHeight="12.75" x14ac:dyDescent="0.2"/>
  <cols>
    <col min="1" max="1" width="4.42578125" customWidth="1"/>
    <col min="2" max="2" width="19.7109375" customWidth="1"/>
    <col min="3" max="3" width="22.28515625" customWidth="1"/>
    <col min="4" max="4" width="15.85546875" customWidth="1"/>
    <col min="5" max="5" width="14.85546875" customWidth="1"/>
    <col min="6" max="6" width="14.42578125" customWidth="1"/>
    <col min="7" max="7" width="19.7109375" customWidth="1"/>
  </cols>
  <sheetData>
    <row r="1" spans="2:7" ht="18" customHeight="1" x14ac:dyDescent="0.2">
      <c r="B1" s="62" t="s">
        <v>8</v>
      </c>
      <c r="C1" s="439"/>
      <c r="D1" s="440" t="s">
        <v>321</v>
      </c>
      <c r="E1" s="441"/>
      <c r="F1" s="441"/>
      <c r="G1" s="441"/>
    </row>
    <row r="2" spans="2:7" ht="18" customHeight="1" x14ac:dyDescent="0.2">
      <c r="B2" s="62" t="s">
        <v>16</v>
      </c>
      <c r="C2" s="439"/>
      <c r="D2" s="440" t="s">
        <v>324</v>
      </c>
      <c r="E2" s="441"/>
      <c r="F2" s="441"/>
      <c r="G2" s="441"/>
    </row>
    <row r="3" spans="2:7" ht="18" customHeight="1" x14ac:dyDescent="0.2">
      <c r="B3" s="62" t="s">
        <v>17</v>
      </c>
      <c r="C3" s="439"/>
      <c r="D3" s="62" t="s">
        <v>18</v>
      </c>
      <c r="E3" s="441"/>
      <c r="F3" s="441"/>
      <c r="G3" s="441"/>
    </row>
    <row r="4" spans="2:7" ht="18" customHeight="1" x14ac:dyDescent="0.2">
      <c r="B4" s="62" t="s">
        <v>19</v>
      </c>
      <c r="C4" s="439"/>
      <c r="D4" s="650" t="s">
        <v>322</v>
      </c>
      <c r="E4" s="624"/>
      <c r="F4" s="624"/>
      <c r="G4" s="624"/>
    </row>
    <row r="5" spans="2:7" ht="32.25" customHeight="1" x14ac:dyDescent="0.2">
      <c r="B5" s="13" t="s">
        <v>20</v>
      </c>
      <c r="C5" s="611" t="s">
        <v>323</v>
      </c>
      <c r="D5" s="660"/>
      <c r="E5" s="660"/>
      <c r="F5" s="660"/>
      <c r="G5" s="660"/>
    </row>
    <row r="6" spans="2:7" ht="13.5" thickBot="1" x14ac:dyDescent="0.25"/>
    <row r="7" spans="2:7" ht="13.5" thickBot="1" x14ac:dyDescent="0.25">
      <c r="B7" s="534" t="s">
        <v>325</v>
      </c>
      <c r="C7" s="518" t="s">
        <v>342</v>
      </c>
    </row>
    <row r="8" spans="2:7" x14ac:dyDescent="0.2">
      <c r="B8" s="533" t="s">
        <v>326</v>
      </c>
      <c r="C8" s="44" t="s">
        <v>336</v>
      </c>
    </row>
    <row r="9" spans="2:7" x14ac:dyDescent="0.2">
      <c r="B9" s="25" t="s">
        <v>327</v>
      </c>
      <c r="C9" s="45" t="s">
        <v>337</v>
      </c>
    </row>
    <row r="10" spans="2:7" x14ac:dyDescent="0.2">
      <c r="B10" s="533" t="s">
        <v>328</v>
      </c>
      <c r="C10" s="44" t="s">
        <v>338</v>
      </c>
    </row>
    <row r="11" spans="2:7" x14ac:dyDescent="0.2">
      <c r="B11" s="25" t="s">
        <v>329</v>
      </c>
      <c r="C11" s="25"/>
    </row>
    <row r="12" spans="2:7" x14ac:dyDescent="0.2">
      <c r="B12" s="533" t="s">
        <v>330</v>
      </c>
      <c r="C12" s="24"/>
    </row>
    <row r="13" spans="2:7" x14ac:dyDescent="0.2">
      <c r="B13" s="25" t="s">
        <v>331</v>
      </c>
      <c r="C13" s="25"/>
    </row>
    <row r="14" spans="2:7" x14ac:dyDescent="0.2">
      <c r="B14" s="533" t="s">
        <v>332</v>
      </c>
      <c r="C14" s="24"/>
    </row>
    <row r="15" spans="2:7" x14ac:dyDescent="0.2">
      <c r="B15" s="25" t="s">
        <v>333</v>
      </c>
      <c r="C15" s="25"/>
    </row>
    <row r="16" spans="2:7" x14ac:dyDescent="0.2">
      <c r="B16" s="533" t="s">
        <v>334</v>
      </c>
      <c r="C16" s="24"/>
    </row>
    <row r="17" spans="2:9" x14ac:dyDescent="0.2">
      <c r="B17" s="25" t="s">
        <v>335</v>
      </c>
      <c r="C17" s="25"/>
      <c r="D17" s="6"/>
      <c r="E17" s="6"/>
      <c r="F17" s="6"/>
      <c r="G17" s="6"/>
      <c r="H17" s="6"/>
      <c r="I17" s="6"/>
    </row>
    <row r="18" spans="2:9" ht="13.5" thickBot="1" x14ac:dyDescent="0.25">
      <c r="B18" s="303">
        <f>COUNTA(B8:B17)</f>
        <v>10</v>
      </c>
      <c r="C18" s="304">
        <f>COUNTA(C8:C10)</f>
        <v>3</v>
      </c>
      <c r="D18" s="6"/>
      <c r="E18" s="6"/>
      <c r="F18" s="6"/>
      <c r="G18" s="6"/>
      <c r="H18" s="6"/>
      <c r="I18" s="6"/>
    </row>
    <row r="19" spans="2:9" x14ac:dyDescent="0.2">
      <c r="B19" s="535" t="s">
        <v>339</v>
      </c>
      <c r="C19" s="525"/>
      <c r="D19" s="525"/>
      <c r="E19" s="525"/>
      <c r="F19" s="525"/>
      <c r="G19" s="525"/>
      <c r="H19" s="525"/>
      <c r="I19" s="525"/>
    </row>
    <row r="20" spans="2:9" ht="13.5" thickBot="1" x14ac:dyDescent="0.25">
      <c r="B20" s="524"/>
      <c r="C20" s="525"/>
      <c r="D20" s="525"/>
      <c r="E20" s="525"/>
      <c r="F20" s="525"/>
      <c r="G20" s="525"/>
      <c r="H20" s="525"/>
      <c r="I20" s="525"/>
    </row>
    <row r="21" spans="2:9" ht="15.75" thickBot="1" x14ac:dyDescent="0.25">
      <c r="B21" s="517" t="s">
        <v>340</v>
      </c>
      <c r="C21" s="537">
        <f>PERMUT(B18,C18)</f>
        <v>720</v>
      </c>
      <c r="D21" s="525"/>
      <c r="E21" s="525"/>
      <c r="F21" s="525"/>
      <c r="G21" s="525"/>
      <c r="H21" s="525"/>
      <c r="I21" s="525"/>
    </row>
    <row r="22" spans="2:9" x14ac:dyDescent="0.2">
      <c r="B22" s="524"/>
      <c r="C22" s="536" t="s">
        <v>341</v>
      </c>
      <c r="D22" s="525"/>
      <c r="E22" s="525"/>
      <c r="F22" s="525"/>
      <c r="G22" s="525"/>
      <c r="H22" s="525"/>
      <c r="I22" s="525"/>
    </row>
    <row r="23" spans="2:9" x14ac:dyDescent="0.2">
      <c r="B23" s="524"/>
      <c r="C23" s="526"/>
      <c r="D23" s="527"/>
      <c r="E23" s="528"/>
      <c r="F23" s="528"/>
      <c r="G23" s="528"/>
      <c r="H23" s="528"/>
      <c r="I23" s="528"/>
    </row>
    <row r="24" spans="2:9" x14ac:dyDescent="0.2">
      <c r="B24" s="529"/>
      <c r="C24" s="530"/>
      <c r="D24" s="529"/>
      <c r="E24" s="529"/>
      <c r="F24" s="529"/>
      <c r="G24" s="529"/>
      <c r="H24" s="529"/>
      <c r="I24" s="529"/>
    </row>
    <row r="25" spans="2:9" x14ac:dyDescent="0.2">
      <c r="B25" s="6"/>
      <c r="C25" s="6"/>
      <c r="D25" s="6"/>
      <c r="E25" s="6"/>
      <c r="F25" s="6"/>
      <c r="G25" s="6"/>
      <c r="H25" s="6"/>
      <c r="I25" s="6"/>
    </row>
    <row r="26" spans="2:9" ht="15" x14ac:dyDescent="0.2">
      <c r="B26" s="531"/>
      <c r="C26" s="532"/>
      <c r="D26" s="532"/>
      <c r="E26" s="532"/>
      <c r="F26" s="532"/>
      <c r="G26" s="532"/>
      <c r="H26" s="532"/>
      <c r="I26" s="532"/>
    </row>
    <row r="27" spans="2:9" x14ac:dyDescent="0.2">
      <c r="B27" s="532"/>
      <c r="C27" s="532"/>
      <c r="D27" s="532"/>
      <c r="E27" s="532"/>
      <c r="F27" s="532"/>
      <c r="G27" s="532"/>
      <c r="H27" s="532"/>
      <c r="I27" s="532"/>
    </row>
    <row r="28" spans="2:9" x14ac:dyDescent="0.2">
      <c r="B28" s="532"/>
      <c r="C28" s="532"/>
      <c r="D28" s="532"/>
      <c r="E28" s="532"/>
      <c r="F28" s="532"/>
      <c r="G28" s="532"/>
      <c r="H28" s="532"/>
      <c r="I28" s="532"/>
    </row>
    <row r="29" spans="2:9" x14ac:dyDescent="0.2">
      <c r="B29" s="532"/>
      <c r="C29" s="532"/>
      <c r="D29" s="532"/>
      <c r="E29" s="532"/>
      <c r="F29" s="532"/>
      <c r="G29" s="532"/>
      <c r="H29" s="532"/>
      <c r="I29" s="532"/>
    </row>
    <row r="30" spans="2:9" x14ac:dyDescent="0.2">
      <c r="B30" s="532"/>
      <c r="C30" s="532"/>
      <c r="D30" s="532"/>
      <c r="E30" s="532"/>
      <c r="F30" s="532"/>
      <c r="G30" s="532"/>
      <c r="H30" s="532"/>
      <c r="I30" s="532"/>
    </row>
    <row r="31" spans="2:9" x14ac:dyDescent="0.2">
      <c r="B31" s="532"/>
      <c r="C31" s="532"/>
      <c r="D31" s="532"/>
      <c r="E31" s="532"/>
      <c r="F31" s="532"/>
      <c r="G31" s="532"/>
      <c r="H31" s="532"/>
      <c r="I31" s="532"/>
    </row>
    <row r="32" spans="2:9" x14ac:dyDescent="0.2">
      <c r="B32" s="532"/>
      <c r="C32" s="532"/>
      <c r="D32" s="532"/>
      <c r="E32" s="532"/>
      <c r="F32" s="532"/>
      <c r="G32" s="532"/>
      <c r="H32" s="532"/>
      <c r="I32" s="532"/>
    </row>
    <row r="33" spans="2:9" x14ac:dyDescent="0.2">
      <c r="B33" s="532"/>
      <c r="C33" s="532"/>
      <c r="D33" s="532"/>
      <c r="E33" s="532"/>
      <c r="F33" s="532"/>
      <c r="G33" s="532"/>
      <c r="H33" s="532"/>
      <c r="I33" s="532"/>
    </row>
    <row r="34" spans="2:9" x14ac:dyDescent="0.2">
      <c r="B34" s="6"/>
      <c r="C34" s="6"/>
      <c r="D34" s="6"/>
      <c r="E34" s="6"/>
      <c r="F34" s="6"/>
      <c r="G34" s="6"/>
      <c r="H34" s="6"/>
      <c r="I34" s="6"/>
    </row>
    <row r="35" spans="2:9" x14ac:dyDescent="0.2">
      <c r="B35" s="6"/>
      <c r="C35" s="6"/>
      <c r="D35" s="6"/>
      <c r="E35" s="6"/>
      <c r="F35" s="6"/>
      <c r="G35" s="6"/>
      <c r="H35" s="6"/>
      <c r="I35" s="6"/>
    </row>
  </sheetData>
  <mergeCells count="2">
    <mergeCell ref="D4:G4"/>
    <mergeCell ref="C5:G5"/>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opLeftCell="B1" workbookViewId="0">
      <selection activeCell="C15" sqref="C15"/>
    </sheetView>
  </sheetViews>
  <sheetFormatPr baseColWidth="10" defaultRowHeight="12.75" x14ac:dyDescent="0.2"/>
  <cols>
    <col min="1" max="1" width="2.85546875" customWidth="1"/>
    <col min="2" max="2" width="23.28515625" customWidth="1"/>
    <col min="3" max="3" width="17.28515625" customWidth="1"/>
    <col min="4" max="4" width="14.5703125" customWidth="1"/>
    <col min="5" max="5" width="19.85546875" customWidth="1"/>
    <col min="7" max="7" width="14.5703125" customWidth="1"/>
    <col min="8" max="8" width="20.7109375" customWidth="1"/>
    <col min="9" max="9" width="17.7109375" customWidth="1"/>
  </cols>
  <sheetData>
    <row r="1" spans="1:9" ht="15.75" x14ac:dyDescent="0.25">
      <c r="B1" s="10" t="s">
        <v>8</v>
      </c>
      <c r="C1" s="11"/>
      <c r="D1" s="290" t="s">
        <v>153</v>
      </c>
      <c r="E1" s="289"/>
      <c r="F1" s="289"/>
      <c r="G1" s="289"/>
      <c r="H1" s="289"/>
      <c r="I1" s="289"/>
    </row>
    <row r="2" spans="1:9" ht="15.75" x14ac:dyDescent="0.25">
      <c r="B2" s="10" t="s">
        <v>16</v>
      </c>
      <c r="C2" s="11"/>
      <c r="D2" s="290" t="s">
        <v>155</v>
      </c>
      <c r="E2" s="289"/>
      <c r="F2" s="289"/>
      <c r="G2" s="289"/>
      <c r="H2" s="289"/>
      <c r="I2" s="289"/>
    </row>
    <row r="3" spans="1:9" ht="15" x14ac:dyDescent="0.2">
      <c r="B3" s="10" t="s">
        <v>17</v>
      </c>
      <c r="C3" s="11"/>
      <c r="D3" s="291" t="s">
        <v>18</v>
      </c>
      <c r="E3" s="289"/>
      <c r="F3" s="289"/>
      <c r="G3" s="289"/>
      <c r="H3" s="289"/>
      <c r="I3" s="289"/>
    </row>
    <row r="4" spans="1:9" ht="15" x14ac:dyDescent="0.2">
      <c r="B4" s="10" t="s">
        <v>19</v>
      </c>
      <c r="C4" s="11"/>
      <c r="D4" s="612" t="s">
        <v>152</v>
      </c>
      <c r="E4" s="600"/>
      <c r="F4" s="600"/>
      <c r="G4" s="600"/>
      <c r="H4" s="600"/>
      <c r="I4" s="600"/>
    </row>
    <row r="5" spans="1:9" ht="53.25" customHeight="1" x14ac:dyDescent="0.2">
      <c r="B5" s="13" t="s">
        <v>20</v>
      </c>
      <c r="C5" s="611" t="s">
        <v>154</v>
      </c>
      <c r="D5" s="600"/>
      <c r="E5" s="600"/>
      <c r="F5" s="600"/>
      <c r="G5" s="600"/>
      <c r="H5" s="600"/>
      <c r="I5" s="600"/>
    </row>
    <row r="8" spans="1:9" ht="13.5" thickBot="1" x14ac:dyDescent="0.25">
      <c r="C8" s="22"/>
      <c r="D8" s="22"/>
      <c r="E8" s="22"/>
    </row>
    <row r="9" spans="1:9" s="321" customFormat="1" ht="18" customHeight="1" x14ac:dyDescent="0.2">
      <c r="B9" s="284"/>
      <c r="C9" s="344" t="s">
        <v>156</v>
      </c>
      <c r="D9" s="88" t="s">
        <v>157</v>
      </c>
      <c r="E9" s="345" t="s">
        <v>24</v>
      </c>
    </row>
    <row r="10" spans="1:9" s="321" customFormat="1" ht="18" customHeight="1" x14ac:dyDescent="0.2">
      <c r="B10" s="284"/>
      <c r="C10" s="346">
        <v>1</v>
      </c>
      <c r="D10" s="347">
        <v>30</v>
      </c>
      <c r="E10" s="348">
        <v>0.1</v>
      </c>
      <c r="F10" s="359"/>
    </row>
    <row r="11" spans="1:9" s="321" customFormat="1" ht="18" customHeight="1" x14ac:dyDescent="0.2">
      <c r="B11" s="284"/>
      <c r="C11" s="350">
        <v>2</v>
      </c>
      <c r="D11" s="351">
        <v>40</v>
      </c>
      <c r="E11" s="352">
        <v>0.15</v>
      </c>
    </row>
    <row r="12" spans="1:9" s="321" customFormat="1" ht="18" customHeight="1" x14ac:dyDescent="0.2">
      <c r="B12" s="284"/>
      <c r="C12" s="346">
        <v>3</v>
      </c>
      <c r="D12" s="347">
        <v>50</v>
      </c>
      <c r="E12" s="348">
        <v>0.2</v>
      </c>
    </row>
    <row r="13" spans="1:9" s="321" customFormat="1" ht="18" customHeight="1" x14ac:dyDescent="0.2">
      <c r="B13" s="284"/>
      <c r="C13" s="350">
        <v>4</v>
      </c>
      <c r="D13" s="351">
        <v>60</v>
      </c>
      <c r="E13" s="352">
        <v>0.25</v>
      </c>
    </row>
    <row r="14" spans="1:9" s="321" customFormat="1" ht="18" customHeight="1" thickBot="1" x14ac:dyDescent="0.25">
      <c r="B14" s="284"/>
      <c r="C14" s="346">
        <v>5</v>
      </c>
      <c r="D14" s="347">
        <v>70</v>
      </c>
      <c r="E14" s="348">
        <v>0.3</v>
      </c>
    </row>
    <row r="15" spans="1:9" s="321" customFormat="1" ht="29.25" customHeight="1" thickBot="1" x14ac:dyDescent="0.25">
      <c r="A15" s="284"/>
      <c r="B15" s="79" t="s">
        <v>160</v>
      </c>
      <c r="C15" s="353" t="s">
        <v>158</v>
      </c>
      <c r="D15" s="354">
        <f>PROB(D10:D14,E10:E14,D13)</f>
        <v>0.25</v>
      </c>
      <c r="E15" s="355">
        <f>D15</f>
        <v>0.25</v>
      </c>
      <c r="F15" s="146" t="s">
        <v>394</v>
      </c>
    </row>
    <row r="16" spans="1:9" s="321" customFormat="1" ht="31.5" customHeight="1" thickBot="1" x14ac:dyDescent="0.25">
      <c r="A16" s="284"/>
      <c r="B16" s="360" t="s">
        <v>168</v>
      </c>
      <c r="C16" s="356" t="s">
        <v>159</v>
      </c>
      <c r="D16" s="357">
        <f>PROB(D10:D14,E10:E14,D13,D14)</f>
        <v>0.55000000000000004</v>
      </c>
      <c r="E16" s="358">
        <f>D16</f>
        <v>0.55000000000000004</v>
      </c>
      <c r="F16" s="146" t="s">
        <v>395</v>
      </c>
    </row>
    <row r="17" spans="2:5" x14ac:dyDescent="0.2">
      <c r="B17" s="342"/>
      <c r="C17" s="342"/>
      <c r="D17" s="342"/>
      <c r="E17" s="343"/>
    </row>
    <row r="18" spans="2:5" x14ac:dyDescent="0.2">
      <c r="B18" s="283" t="s">
        <v>161</v>
      </c>
      <c r="C18" s="342"/>
      <c r="D18" s="342"/>
      <c r="E18" s="1"/>
    </row>
    <row r="19" spans="2:5" x14ac:dyDescent="0.2">
      <c r="B19" t="s">
        <v>165</v>
      </c>
    </row>
    <row r="21" spans="2:5" x14ac:dyDescent="0.2">
      <c r="B21" s="38" t="s">
        <v>163</v>
      </c>
    </row>
    <row r="22" spans="2:5" x14ac:dyDescent="0.2">
      <c r="B22" t="s">
        <v>396</v>
      </c>
    </row>
    <row r="24" spans="2:5" x14ac:dyDescent="0.2">
      <c r="B24" s="38" t="s">
        <v>162</v>
      </c>
    </row>
    <row r="25" spans="2:5" x14ac:dyDescent="0.2">
      <c r="B25" t="s">
        <v>166</v>
      </c>
    </row>
    <row r="27" spans="2:5" x14ac:dyDescent="0.2">
      <c r="B27" s="38" t="s">
        <v>164</v>
      </c>
    </row>
    <row r="28" spans="2:5" x14ac:dyDescent="0.2">
      <c r="B28" t="s">
        <v>167</v>
      </c>
    </row>
  </sheetData>
  <mergeCells count="2">
    <mergeCell ref="D4:I4"/>
    <mergeCell ref="C5:I5"/>
  </mergeCells>
  <phoneticPr fontId="5" type="noConversion"/>
  <pageMargins left="0.78740157499999996" right="0.78740157499999996" top="0.984251969" bottom="0.984251969" header="0.4921259845" footer="0.492125984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B1" workbookViewId="0">
      <selection activeCell="E15" sqref="E15:F15"/>
    </sheetView>
  </sheetViews>
  <sheetFormatPr baseColWidth="10" defaultRowHeight="12.75" x14ac:dyDescent="0.2"/>
  <cols>
    <col min="1" max="1" width="3.28515625" customWidth="1"/>
    <col min="2" max="2" width="20.28515625" customWidth="1"/>
    <col min="3" max="3" width="15.5703125" customWidth="1"/>
    <col min="4" max="4" width="11.28515625" customWidth="1"/>
    <col min="5" max="5" width="15" customWidth="1"/>
    <col min="6" max="6" width="12.140625" customWidth="1"/>
    <col min="7" max="7" width="16.28515625" customWidth="1"/>
  </cols>
  <sheetData>
    <row r="1" spans="1:8" ht="18" customHeight="1" x14ac:dyDescent="0.2">
      <c r="B1" s="62" t="s">
        <v>8</v>
      </c>
      <c r="C1" s="439"/>
      <c r="D1" s="440" t="s">
        <v>572</v>
      </c>
      <c r="E1" s="441"/>
      <c r="F1" s="441"/>
      <c r="G1" s="441"/>
      <c r="H1" s="61"/>
    </row>
    <row r="2" spans="1:8" ht="18" customHeight="1" x14ac:dyDescent="0.2">
      <c r="B2" s="62" t="s">
        <v>16</v>
      </c>
      <c r="C2" s="439"/>
      <c r="D2" s="440" t="s">
        <v>573</v>
      </c>
      <c r="E2" s="441"/>
      <c r="F2" s="441"/>
      <c r="G2" s="441"/>
      <c r="H2" s="61"/>
    </row>
    <row r="3" spans="1:8" ht="18" customHeight="1" x14ac:dyDescent="0.2">
      <c r="B3" s="62" t="s">
        <v>17</v>
      </c>
      <c r="C3" s="439"/>
      <c r="D3" s="62" t="s">
        <v>18</v>
      </c>
      <c r="E3" s="441"/>
      <c r="F3" s="441"/>
      <c r="G3" s="441"/>
      <c r="H3" s="61"/>
    </row>
    <row r="4" spans="1:8" ht="18" customHeight="1" x14ac:dyDescent="0.2">
      <c r="B4" s="62" t="s">
        <v>19</v>
      </c>
      <c r="C4" s="439"/>
      <c r="D4" s="650" t="s">
        <v>574</v>
      </c>
      <c r="E4" s="624"/>
      <c r="F4" s="624"/>
      <c r="G4" s="624"/>
      <c r="H4" s="61"/>
    </row>
    <row r="5" spans="1:8" ht="114.75" customHeight="1" x14ac:dyDescent="0.2">
      <c r="B5" s="13" t="s">
        <v>20</v>
      </c>
      <c r="C5" s="611" t="s">
        <v>320</v>
      </c>
      <c r="D5" s="660"/>
      <c r="E5" s="660"/>
      <c r="F5" s="660"/>
      <c r="G5" s="660"/>
      <c r="H5" s="61"/>
    </row>
    <row r="8" spans="1:8" ht="15.75" thickBot="1" x14ac:dyDescent="0.25">
      <c r="B8" s="545" t="s">
        <v>575</v>
      </c>
      <c r="C8" s="546"/>
      <c r="D8" s="541"/>
      <c r="E8" s="542"/>
      <c r="F8" s="542"/>
    </row>
    <row r="9" spans="1:8" ht="13.5" thickBot="1" x14ac:dyDescent="0.25">
      <c r="A9" s="17"/>
      <c r="B9" s="522" t="s">
        <v>344</v>
      </c>
      <c r="C9" s="522"/>
      <c r="D9" s="552"/>
      <c r="E9" s="613" t="s">
        <v>343</v>
      </c>
      <c r="F9" s="614"/>
    </row>
    <row r="10" spans="1:8" x14ac:dyDescent="0.2">
      <c r="A10" s="17"/>
      <c r="B10" s="5" t="s">
        <v>347</v>
      </c>
      <c r="C10" s="539"/>
      <c r="D10" s="543"/>
      <c r="E10" s="615">
        <v>105</v>
      </c>
      <c r="F10" s="607"/>
    </row>
    <row r="11" spans="1:8" x14ac:dyDescent="0.2">
      <c r="A11" s="17"/>
      <c r="B11" s="547" t="s">
        <v>364</v>
      </c>
      <c r="C11" s="548"/>
      <c r="D11" s="161"/>
      <c r="E11" s="616">
        <v>20</v>
      </c>
      <c r="F11" s="607"/>
    </row>
    <row r="12" spans="1:8" x14ac:dyDescent="0.2">
      <c r="A12" s="17"/>
      <c r="B12" s="5" t="s">
        <v>365</v>
      </c>
      <c r="C12" s="539"/>
      <c r="D12" s="543"/>
      <c r="E12" s="615">
        <v>100</v>
      </c>
      <c r="F12" s="607"/>
    </row>
    <row r="13" spans="1:8" x14ac:dyDescent="0.2">
      <c r="A13" s="17"/>
      <c r="B13" s="547" t="s">
        <v>246</v>
      </c>
      <c r="C13" s="548"/>
      <c r="D13" s="161"/>
      <c r="E13" s="714" t="b">
        <v>1</v>
      </c>
      <c r="F13" s="715"/>
    </row>
    <row r="14" spans="1:8" ht="13.5" thickBot="1" x14ac:dyDescent="0.25">
      <c r="A14" s="17"/>
      <c r="B14" s="5" t="s">
        <v>246</v>
      </c>
      <c r="C14" s="539"/>
      <c r="D14" s="314"/>
      <c r="E14" s="617" t="b">
        <v>0</v>
      </c>
      <c r="F14" s="610"/>
    </row>
    <row r="15" spans="1:8" ht="15.75" thickBot="1" x14ac:dyDescent="0.3">
      <c r="A15" s="17"/>
      <c r="B15" s="559" t="s">
        <v>576</v>
      </c>
      <c r="C15" s="559"/>
      <c r="D15" s="560"/>
      <c r="E15" s="712">
        <f>_xlfn.WEIBULL.DIST(E10,E11,E12,E13)</f>
        <v>0.92958139006927698</v>
      </c>
      <c r="F15" s="713"/>
      <c r="G15" s="586" t="s">
        <v>578</v>
      </c>
    </row>
    <row r="16" spans="1:8" ht="15.75" thickBot="1" x14ac:dyDescent="0.3">
      <c r="A16" s="17"/>
      <c r="B16" s="574" t="s">
        <v>577</v>
      </c>
      <c r="C16" s="574"/>
      <c r="D16" s="575"/>
      <c r="E16" s="710">
        <f>_xlfn.WEIBULL.DIST(E10,E11,E12,E14)</f>
        <v>3.5588864024503564E-2</v>
      </c>
      <c r="F16" s="711"/>
      <c r="G16" s="586" t="s">
        <v>579</v>
      </c>
    </row>
    <row r="17" spans="2:3" x14ac:dyDescent="0.2">
      <c r="B17" s="63"/>
      <c r="C17" s="63"/>
    </row>
  </sheetData>
  <mergeCells count="10">
    <mergeCell ref="D4:G4"/>
    <mergeCell ref="C5:G5"/>
    <mergeCell ref="E9:F9"/>
    <mergeCell ref="E10:F10"/>
    <mergeCell ref="E16:F16"/>
    <mergeCell ref="E11:F11"/>
    <mergeCell ref="E12:F12"/>
    <mergeCell ref="E15:F15"/>
    <mergeCell ref="E13:F13"/>
    <mergeCell ref="E14:F14"/>
  </mergeCells>
  <phoneticPr fontId="5" type="noConversion"/>
  <pageMargins left="0.78740157499999996" right="0.78740157499999996" top="0.984251969" bottom="0.984251969" header="0.4921259845" footer="0.492125984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B1" workbookViewId="0">
      <selection activeCell="E30" sqref="E30"/>
    </sheetView>
  </sheetViews>
  <sheetFormatPr baseColWidth="10" defaultRowHeight="12.75" x14ac:dyDescent="0.2"/>
  <cols>
    <col min="1" max="1" width="4" customWidth="1"/>
    <col min="2" max="2" width="18.28515625" customWidth="1"/>
    <col min="3" max="3" width="19.140625" customWidth="1"/>
    <col min="4" max="4" width="18.42578125" customWidth="1"/>
    <col min="5" max="5" width="24.85546875" customWidth="1"/>
    <col min="6" max="6" width="17.7109375" customWidth="1"/>
  </cols>
  <sheetData>
    <row r="1" spans="2:6" ht="15.75" x14ac:dyDescent="0.25">
      <c r="B1" s="10" t="s">
        <v>8</v>
      </c>
      <c r="C1" s="11"/>
      <c r="D1" s="12" t="s">
        <v>416</v>
      </c>
      <c r="E1" s="11"/>
      <c r="F1" s="61"/>
    </row>
    <row r="2" spans="2:6" ht="15.75" x14ac:dyDescent="0.25">
      <c r="B2" s="10" t="s">
        <v>16</v>
      </c>
      <c r="C2" s="11"/>
      <c r="D2" s="12" t="s">
        <v>417</v>
      </c>
      <c r="E2" s="11"/>
      <c r="F2" s="61"/>
    </row>
    <row r="3" spans="2:6" ht="15" x14ac:dyDescent="0.2">
      <c r="B3" s="10" t="s">
        <v>17</v>
      </c>
      <c r="C3" s="11"/>
      <c r="D3" s="10" t="s">
        <v>18</v>
      </c>
      <c r="E3" s="11"/>
      <c r="F3" s="61"/>
    </row>
    <row r="4" spans="2:6" ht="15" x14ac:dyDescent="0.2">
      <c r="B4" s="10" t="s">
        <v>19</v>
      </c>
      <c r="C4" s="11"/>
      <c r="D4" s="612" t="s">
        <v>418</v>
      </c>
      <c r="E4" s="640"/>
      <c r="F4" s="600"/>
    </row>
    <row r="5" spans="2:6" ht="30.75" customHeight="1" x14ac:dyDescent="0.2">
      <c r="B5" s="13" t="s">
        <v>20</v>
      </c>
      <c r="C5" s="611" t="s">
        <v>43</v>
      </c>
      <c r="D5" s="635"/>
      <c r="E5" s="635"/>
      <c r="F5" s="600"/>
    </row>
    <row r="8" spans="2:6" ht="13.5" thickBot="1" x14ac:dyDescent="0.25"/>
    <row r="9" spans="2:6" ht="13.5" thickBot="1" x14ac:dyDescent="0.25">
      <c r="B9" s="79" t="s">
        <v>10</v>
      </c>
      <c r="C9" s="87" t="s">
        <v>11</v>
      </c>
      <c r="D9" s="88" t="s">
        <v>40</v>
      </c>
      <c r="E9" s="89" t="s">
        <v>12</v>
      </c>
      <c r="F9" s="90"/>
    </row>
    <row r="10" spans="2:6" x14ac:dyDescent="0.2">
      <c r="B10" s="72" t="s">
        <v>13</v>
      </c>
      <c r="C10" s="17"/>
      <c r="D10" s="24"/>
      <c r="E10" s="1"/>
      <c r="F10" s="24"/>
    </row>
    <row r="11" spans="2:6" x14ac:dyDescent="0.2">
      <c r="B11" s="73" t="s">
        <v>14</v>
      </c>
      <c r="C11" s="44">
        <v>12</v>
      </c>
      <c r="D11" s="44">
        <v>704</v>
      </c>
      <c r="E11" s="97">
        <f>SUM(C11:D11)</f>
        <v>716</v>
      </c>
      <c r="F11" s="76" t="s">
        <v>34</v>
      </c>
    </row>
    <row r="12" spans="2:6" x14ac:dyDescent="0.2">
      <c r="B12" s="74" t="s">
        <v>33</v>
      </c>
      <c r="C12" s="33">
        <v>10</v>
      </c>
      <c r="D12" s="45">
        <v>210</v>
      </c>
      <c r="E12" s="83">
        <f>SUM(C12:D12)</f>
        <v>220</v>
      </c>
      <c r="F12" s="77" t="s">
        <v>35</v>
      </c>
    </row>
    <row r="13" spans="2:6" ht="13.5" thickBot="1" x14ac:dyDescent="0.25">
      <c r="B13" s="84" t="s">
        <v>12</v>
      </c>
      <c r="C13" s="80">
        <f>SUM(C11:C12)</f>
        <v>22</v>
      </c>
      <c r="D13" s="81">
        <f>SUM(D11:D12)</f>
        <v>914</v>
      </c>
      <c r="E13" s="91">
        <f>SUM(E11:E12)</f>
        <v>936</v>
      </c>
      <c r="F13" s="78" t="s">
        <v>36</v>
      </c>
    </row>
    <row r="14" spans="2:6" x14ac:dyDescent="0.2">
      <c r="B14" s="72" t="s">
        <v>15</v>
      </c>
      <c r="C14" s="94"/>
      <c r="D14" s="95"/>
      <c r="E14" s="86"/>
      <c r="F14" s="85"/>
    </row>
    <row r="15" spans="2:6" x14ac:dyDescent="0.2">
      <c r="B15" s="73" t="s">
        <v>14</v>
      </c>
      <c r="C15" s="32">
        <v>17</v>
      </c>
      <c r="D15" s="44">
        <v>699</v>
      </c>
      <c r="E15" s="44">
        <f>SUM(C15:D15)</f>
        <v>716</v>
      </c>
      <c r="F15" s="17" t="s">
        <v>37</v>
      </c>
    </row>
    <row r="16" spans="2:6" x14ac:dyDescent="0.2">
      <c r="B16" s="74" t="s">
        <v>33</v>
      </c>
      <c r="C16" s="33">
        <v>5</v>
      </c>
      <c r="D16" s="45">
        <v>215</v>
      </c>
      <c r="E16" s="45">
        <f>SUM(C16:D16)</f>
        <v>220</v>
      </c>
      <c r="F16" s="18" t="s">
        <v>38</v>
      </c>
    </row>
    <row r="17" spans="1:9" ht="13.5" thickBot="1" x14ac:dyDescent="0.25">
      <c r="B17" s="84" t="s">
        <v>12</v>
      </c>
      <c r="C17" s="80">
        <f>SUM(C15:C16)</f>
        <v>22</v>
      </c>
      <c r="D17" s="81">
        <f>SUM(D15:D16)</f>
        <v>914</v>
      </c>
      <c r="E17" s="92">
        <f>SUM(E15:E16)</f>
        <v>936</v>
      </c>
      <c r="F17" s="75" t="s">
        <v>39</v>
      </c>
    </row>
    <row r="18" spans="1:9" ht="15.75" thickBot="1" x14ac:dyDescent="0.3">
      <c r="B18" s="93" t="s">
        <v>424</v>
      </c>
      <c r="C18" s="641">
        <f>_xlfn.CHISQ.TEST(C11:C12,C15:C16)</f>
        <v>1.0967422515470815E-2</v>
      </c>
      <c r="D18" s="642"/>
      <c r="E18" s="642"/>
      <c r="F18" s="643"/>
    </row>
    <row r="19" spans="1:9" x14ac:dyDescent="0.2">
      <c r="C19" s="3" t="s">
        <v>423</v>
      </c>
      <c r="D19" s="8"/>
      <c r="E19" s="9"/>
      <c r="F19" s="1"/>
      <c r="G19" s="1"/>
      <c r="H19" s="1"/>
      <c r="I19" s="1"/>
    </row>
    <row r="20" spans="1:9" ht="13.5" thickBot="1" x14ac:dyDescent="0.25">
      <c r="B20" s="22"/>
      <c r="C20" s="100"/>
      <c r="D20" s="8"/>
      <c r="E20" s="9"/>
      <c r="F20" s="1"/>
      <c r="G20" s="1"/>
      <c r="H20" s="1"/>
      <c r="I20" s="1"/>
    </row>
    <row r="21" spans="1:9" ht="13.5" thickBot="1" x14ac:dyDescent="0.25">
      <c r="A21" s="17"/>
      <c r="B21" s="103" t="s">
        <v>47</v>
      </c>
      <c r="C21" s="102"/>
      <c r="D21" s="104"/>
      <c r="E21" s="9"/>
      <c r="F21" s="1"/>
      <c r="G21" s="1"/>
      <c r="H21" s="1"/>
      <c r="I21" s="1"/>
    </row>
    <row r="22" spans="1:9" ht="15.75" customHeight="1" x14ac:dyDescent="0.2">
      <c r="A22" s="17"/>
      <c r="B22" s="644" t="s">
        <v>58</v>
      </c>
      <c r="C22" s="639"/>
      <c r="D22" s="113">
        <v>2.5000000000000001E-2</v>
      </c>
      <c r="E22" s="112" t="s">
        <v>52</v>
      </c>
      <c r="F22" s="1"/>
      <c r="G22" s="1"/>
      <c r="H22" s="1"/>
      <c r="I22" s="1"/>
    </row>
    <row r="23" spans="1:9" ht="13.5" thickBot="1" x14ac:dyDescent="0.25">
      <c r="A23" s="17"/>
      <c r="B23" s="99" t="s">
        <v>44</v>
      </c>
      <c r="C23" s="59"/>
      <c r="D23" s="46">
        <f>COUNT(C11:C12)-1</f>
        <v>1</v>
      </c>
      <c r="E23" s="105" t="s">
        <v>45</v>
      </c>
      <c r="F23" s="1"/>
      <c r="G23" s="1"/>
      <c r="H23" s="1"/>
      <c r="I23" s="1"/>
    </row>
    <row r="24" spans="1:9" ht="13.5" thickBot="1" x14ac:dyDescent="0.25">
      <c r="B24" s="101" t="s">
        <v>46</v>
      </c>
      <c r="C24" s="107"/>
      <c r="D24" s="108">
        <f>_xlfn.CHISQ.INV.RT(D22,D23)</f>
        <v>5.0238861873148863</v>
      </c>
      <c r="E24" s="105" t="s">
        <v>419</v>
      </c>
      <c r="F24" s="1"/>
      <c r="G24" s="1"/>
      <c r="H24" s="1"/>
      <c r="I24" s="1"/>
    </row>
    <row r="25" spans="1:9" x14ac:dyDescent="0.2">
      <c r="C25" s="3"/>
      <c r="D25" s="8"/>
      <c r="E25" s="9"/>
      <c r="F25" s="1"/>
      <c r="G25" s="1"/>
      <c r="H25" s="1"/>
      <c r="I25" s="1"/>
    </row>
    <row r="26" spans="1:9" ht="13.5" thickBot="1" x14ac:dyDescent="0.25">
      <c r="C26" s="3"/>
      <c r="D26" s="8"/>
      <c r="E26" s="9"/>
      <c r="F26" s="1"/>
      <c r="G26" s="1"/>
      <c r="H26" s="1"/>
      <c r="I26" s="1"/>
    </row>
    <row r="27" spans="1:9" ht="13.5" thickBot="1" x14ac:dyDescent="0.25">
      <c r="A27" s="17"/>
      <c r="B27" s="110" t="s">
        <v>51</v>
      </c>
      <c r="C27" s="102"/>
      <c r="D27" s="104"/>
      <c r="E27" s="9"/>
      <c r="F27" s="1"/>
      <c r="G27" s="1"/>
      <c r="H27" s="1"/>
      <c r="I27" s="1"/>
    </row>
    <row r="28" spans="1:9" x14ac:dyDescent="0.2">
      <c r="A28" s="17"/>
      <c r="B28" s="638" t="s">
        <v>48</v>
      </c>
      <c r="C28" s="639"/>
      <c r="D28" s="106">
        <f>(C11-C15)^2/C15</f>
        <v>1.4705882352941178</v>
      </c>
      <c r="E28" s="9"/>
      <c r="F28" s="1"/>
      <c r="G28" s="1"/>
      <c r="H28" s="1"/>
      <c r="I28" s="1"/>
    </row>
    <row r="29" spans="1:9" x14ac:dyDescent="0.2">
      <c r="A29" s="17"/>
      <c r="B29" s="111" t="s">
        <v>49</v>
      </c>
      <c r="C29" s="20"/>
      <c r="D29" s="33">
        <f>(C12-C16)^2/C16</f>
        <v>5</v>
      </c>
      <c r="E29" s="9"/>
      <c r="F29" s="1"/>
      <c r="G29" s="1"/>
      <c r="H29" s="1"/>
      <c r="I29" s="1"/>
    </row>
    <row r="30" spans="1:9" ht="13.5" thickBot="1" x14ac:dyDescent="0.25">
      <c r="A30" s="17"/>
      <c r="B30" s="114" t="s">
        <v>50</v>
      </c>
      <c r="C30" s="115"/>
      <c r="D30" s="116">
        <f>SUM(D28:D29)</f>
        <v>6.4705882352941178</v>
      </c>
      <c r="E30" s="9"/>
      <c r="F30" s="1"/>
      <c r="G30" s="1"/>
      <c r="H30" s="1"/>
      <c r="I30" s="1"/>
    </row>
    <row r="31" spans="1:9" x14ac:dyDescent="0.2">
      <c r="A31" s="1"/>
      <c r="B31" s="1"/>
      <c r="C31" s="3"/>
      <c r="D31" s="109"/>
      <c r="E31" s="9"/>
      <c r="F31" s="1"/>
      <c r="G31" s="1"/>
      <c r="H31" s="1"/>
      <c r="I31" s="1"/>
    </row>
    <row r="32" spans="1:9" x14ac:dyDescent="0.2">
      <c r="A32" s="1"/>
      <c r="B32" s="70" t="s">
        <v>4</v>
      </c>
      <c r="C32" s="3"/>
      <c r="D32" s="109"/>
      <c r="E32" s="9"/>
      <c r="F32" s="1"/>
      <c r="G32" s="1"/>
      <c r="H32" s="1"/>
      <c r="I32" s="1"/>
    </row>
    <row r="33" spans="1:9" x14ac:dyDescent="0.2">
      <c r="A33" s="1"/>
      <c r="B33" s="1" t="s">
        <v>53</v>
      </c>
      <c r="C33" s="3"/>
      <c r="D33" s="109"/>
      <c r="E33" s="9"/>
      <c r="F33" s="1"/>
      <c r="G33" s="1"/>
      <c r="H33" s="1"/>
      <c r="I33" s="1"/>
    </row>
    <row r="34" spans="1:9" x14ac:dyDescent="0.2">
      <c r="A34" s="1"/>
      <c r="B34" s="6" t="s">
        <v>54</v>
      </c>
      <c r="C34" s="3"/>
      <c r="D34" s="109"/>
      <c r="E34" s="9"/>
      <c r="F34" s="1"/>
      <c r="G34" s="1"/>
      <c r="H34" s="1"/>
      <c r="I34" s="1"/>
    </row>
    <row r="35" spans="1:9" x14ac:dyDescent="0.2">
      <c r="A35" s="1"/>
      <c r="B35" s="1"/>
      <c r="C35" s="3"/>
      <c r="D35" s="109"/>
      <c r="E35" s="9"/>
      <c r="F35" s="1"/>
      <c r="G35" s="1"/>
      <c r="H35" s="1"/>
      <c r="I35" s="1"/>
    </row>
    <row r="36" spans="1:9" x14ac:dyDescent="0.2">
      <c r="A36" s="1"/>
      <c r="B36" s="41" t="s">
        <v>9</v>
      </c>
      <c r="C36" s="3"/>
      <c r="D36" s="109"/>
      <c r="E36" s="9"/>
      <c r="F36" s="1"/>
      <c r="G36" s="1"/>
      <c r="H36" s="1"/>
      <c r="I36" s="1"/>
    </row>
    <row r="37" spans="1:9" x14ac:dyDescent="0.2">
      <c r="A37" s="1"/>
      <c r="B37" s="71" t="str">
        <f>IF(D30&gt;D24,"Nullhypothese abgelehnt","Nullhypothese angenommen")</f>
        <v>Nullhypothese abgelehnt</v>
      </c>
      <c r="C37" s="98"/>
      <c r="D37" s="109"/>
      <c r="E37" s="9"/>
      <c r="F37" s="1"/>
      <c r="G37" s="1"/>
      <c r="H37" s="1"/>
      <c r="I37" s="1"/>
    </row>
  </sheetData>
  <mergeCells count="5">
    <mergeCell ref="B28:C28"/>
    <mergeCell ref="C5:F5"/>
    <mergeCell ref="D4:F4"/>
    <mergeCell ref="C18:F18"/>
    <mergeCell ref="B22:C22"/>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topLeftCell="B1" workbookViewId="0">
      <selection activeCell="B8" sqref="B8"/>
    </sheetView>
  </sheetViews>
  <sheetFormatPr baseColWidth="10" defaultRowHeight="12.75" x14ac:dyDescent="0.2"/>
  <cols>
    <col min="1" max="1" width="2.28515625" customWidth="1"/>
    <col min="2" max="2" width="19" customWidth="1"/>
    <col min="3" max="3" width="4.5703125" customWidth="1"/>
    <col min="4" max="4" width="28.140625" bestFit="1" customWidth="1"/>
    <col min="6" max="6" width="17.85546875" customWidth="1"/>
  </cols>
  <sheetData>
    <row r="1" spans="2:6" ht="15.75" x14ac:dyDescent="0.25">
      <c r="B1" s="10" t="s">
        <v>8</v>
      </c>
      <c r="C1" s="11"/>
      <c r="D1" s="12" t="s">
        <v>447</v>
      </c>
      <c r="E1" s="11"/>
      <c r="F1" s="61"/>
    </row>
    <row r="2" spans="2:6" ht="15.75" x14ac:dyDescent="0.25">
      <c r="B2" s="10" t="s">
        <v>16</v>
      </c>
      <c r="C2" s="11"/>
      <c r="D2" s="12" t="s">
        <v>448</v>
      </c>
      <c r="E2" s="11"/>
      <c r="F2" s="61"/>
    </row>
    <row r="3" spans="2:6" ht="15" x14ac:dyDescent="0.2">
      <c r="B3" s="10" t="s">
        <v>17</v>
      </c>
      <c r="C3" s="11"/>
      <c r="D3" s="10" t="s">
        <v>18</v>
      </c>
      <c r="E3" s="11"/>
      <c r="F3" s="61"/>
    </row>
    <row r="4" spans="2:6" ht="15" x14ac:dyDescent="0.2">
      <c r="B4" s="10" t="s">
        <v>19</v>
      </c>
      <c r="C4" s="11"/>
      <c r="D4" s="612" t="s">
        <v>449</v>
      </c>
      <c r="E4" s="640"/>
      <c r="F4" s="600"/>
    </row>
    <row r="5" spans="2:6" ht="15" x14ac:dyDescent="0.2">
      <c r="B5" s="13" t="s">
        <v>20</v>
      </c>
      <c r="C5" s="611" t="s">
        <v>43</v>
      </c>
      <c r="D5" s="635"/>
      <c r="E5" s="635"/>
      <c r="F5" s="600"/>
    </row>
    <row r="8" spans="2:6" ht="15.75" x14ac:dyDescent="0.25">
      <c r="B8" s="260" t="s">
        <v>580</v>
      </c>
    </row>
  </sheetData>
  <mergeCells count="2">
    <mergeCell ref="D4:F4"/>
    <mergeCell ref="C5:F5"/>
  </mergeCells>
  <pageMargins left="0.7" right="0.7" top="0.78740157499999996" bottom="0.78740157499999996"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B1" workbookViewId="0">
      <selection activeCell="G4" sqref="G4"/>
    </sheetView>
  </sheetViews>
  <sheetFormatPr baseColWidth="10" defaultRowHeight="12.75" x14ac:dyDescent="0.2"/>
  <cols>
    <col min="1" max="1" width="3.85546875" customWidth="1"/>
    <col min="2" max="2" width="22.28515625" customWidth="1"/>
    <col min="3" max="3" width="17.28515625" customWidth="1"/>
    <col min="4" max="4" width="18.140625" customWidth="1"/>
    <col min="5" max="5" width="17.85546875" customWidth="1"/>
    <col min="6" max="6" width="19" customWidth="1"/>
  </cols>
  <sheetData>
    <row r="1" spans="1:6" ht="15.75" x14ac:dyDescent="0.25">
      <c r="B1" s="10" t="s">
        <v>8</v>
      </c>
      <c r="C1" s="11"/>
      <c r="D1" s="12" t="s">
        <v>420</v>
      </c>
      <c r="E1" s="11"/>
      <c r="F1" s="61"/>
    </row>
    <row r="2" spans="1:6" ht="15.75" x14ac:dyDescent="0.25">
      <c r="B2" s="10" t="s">
        <v>16</v>
      </c>
      <c r="C2" s="11"/>
      <c r="D2" s="12" t="s">
        <v>421</v>
      </c>
      <c r="E2" s="11"/>
      <c r="F2" s="61"/>
    </row>
    <row r="3" spans="1:6" ht="15" x14ac:dyDescent="0.2">
      <c r="B3" s="10" t="s">
        <v>17</v>
      </c>
      <c r="C3" s="11"/>
      <c r="D3" s="10" t="s">
        <v>18</v>
      </c>
      <c r="E3" s="11"/>
      <c r="F3" s="61"/>
    </row>
    <row r="4" spans="1:6" ht="15" x14ac:dyDescent="0.2">
      <c r="B4" s="10" t="s">
        <v>19</v>
      </c>
      <c r="C4" s="11"/>
      <c r="D4" s="612" t="s">
        <v>422</v>
      </c>
      <c r="E4" s="640"/>
      <c r="F4" s="600"/>
    </row>
    <row r="5" spans="1:6" ht="66.75" customHeight="1" x14ac:dyDescent="0.2">
      <c r="B5" s="13" t="s">
        <v>20</v>
      </c>
      <c r="C5" s="611" t="s">
        <v>32</v>
      </c>
      <c r="D5" s="635"/>
      <c r="E5" s="635"/>
      <c r="F5" s="600"/>
    </row>
    <row r="7" spans="1:6" x14ac:dyDescent="0.2">
      <c r="B7" s="645" t="s">
        <v>42</v>
      </c>
      <c r="C7" s="646"/>
      <c r="D7" s="646"/>
      <c r="E7" s="646"/>
      <c r="F7" s="646"/>
    </row>
    <row r="8" spans="1:6" ht="13.5" thickBot="1" x14ac:dyDescent="0.25">
      <c r="B8" s="22"/>
      <c r="C8" s="22"/>
      <c r="D8" s="22"/>
      <c r="E8" s="22"/>
      <c r="F8" s="22"/>
    </row>
    <row r="9" spans="1:6" ht="21" customHeight="1" thickBot="1" x14ac:dyDescent="0.25">
      <c r="A9" s="17"/>
      <c r="B9" s="79" t="s">
        <v>10</v>
      </c>
      <c r="C9" s="87" t="s">
        <v>11</v>
      </c>
      <c r="D9" s="88" t="s">
        <v>40</v>
      </c>
      <c r="E9" s="89" t="s">
        <v>12</v>
      </c>
      <c r="F9" s="90"/>
    </row>
    <row r="10" spans="1:6" x14ac:dyDescent="0.2">
      <c r="A10" s="17"/>
      <c r="B10" s="72" t="s">
        <v>13</v>
      </c>
      <c r="C10" s="17"/>
      <c r="D10" s="24"/>
      <c r="E10" s="1"/>
      <c r="F10" s="24"/>
    </row>
    <row r="11" spans="1:6" x14ac:dyDescent="0.2">
      <c r="A11" s="17"/>
      <c r="B11" s="73" t="s">
        <v>14</v>
      </c>
      <c r="C11" s="44">
        <v>12</v>
      </c>
      <c r="D11" s="44">
        <v>704</v>
      </c>
      <c r="E11" s="97">
        <f>SUM(C11:D11)</f>
        <v>716</v>
      </c>
      <c r="F11" s="76" t="s">
        <v>35</v>
      </c>
    </row>
    <row r="12" spans="1:6" x14ac:dyDescent="0.2">
      <c r="A12" s="17"/>
      <c r="B12" s="74" t="s">
        <v>33</v>
      </c>
      <c r="C12" s="33">
        <v>10</v>
      </c>
      <c r="D12" s="45">
        <v>210</v>
      </c>
      <c r="E12" s="83">
        <f>SUM(C12:D12)</f>
        <v>220</v>
      </c>
      <c r="F12" s="77" t="s">
        <v>35</v>
      </c>
    </row>
    <row r="13" spans="1:6" ht="13.5" thickBot="1" x14ac:dyDescent="0.25">
      <c r="A13" s="17"/>
      <c r="B13" s="84" t="s">
        <v>12</v>
      </c>
      <c r="C13" s="80">
        <f>SUM(C11:C12)</f>
        <v>22</v>
      </c>
      <c r="D13" s="81">
        <f>SUM(D11:D12)</f>
        <v>914</v>
      </c>
      <c r="E13" s="91">
        <f>SUM(E11:E12)</f>
        <v>936</v>
      </c>
      <c r="F13" s="78" t="s">
        <v>369</v>
      </c>
    </row>
    <row r="14" spans="1:6" x14ac:dyDescent="0.2">
      <c r="A14" s="17"/>
      <c r="B14" s="72" t="s">
        <v>15</v>
      </c>
      <c r="C14" s="94"/>
      <c r="D14" s="95"/>
      <c r="E14" s="86"/>
      <c r="F14" s="85"/>
    </row>
    <row r="15" spans="1:6" x14ac:dyDescent="0.2">
      <c r="A15" s="17"/>
      <c r="B15" s="73" t="s">
        <v>14</v>
      </c>
      <c r="C15" s="32">
        <v>17</v>
      </c>
      <c r="D15" s="44">
        <v>699</v>
      </c>
      <c r="E15" s="44">
        <f>SUM(C15:D15)</f>
        <v>716</v>
      </c>
      <c r="F15" s="578" t="s">
        <v>38</v>
      </c>
    </row>
    <row r="16" spans="1:6" x14ac:dyDescent="0.2">
      <c r="A16" s="17"/>
      <c r="B16" s="74" t="s">
        <v>33</v>
      </c>
      <c r="C16" s="33">
        <v>5</v>
      </c>
      <c r="D16" s="45">
        <v>215</v>
      </c>
      <c r="E16" s="45">
        <f>SUM(C16:D16)</f>
        <v>220</v>
      </c>
      <c r="F16" s="20" t="s">
        <v>370</v>
      </c>
    </row>
    <row r="17" spans="1:6" ht="13.5" thickBot="1" x14ac:dyDescent="0.25">
      <c r="A17" s="17"/>
      <c r="B17" s="84" t="s">
        <v>12</v>
      </c>
      <c r="C17" s="80">
        <f>SUM(C15:C16)</f>
        <v>22</v>
      </c>
      <c r="D17" s="81">
        <f>SUM(D15:D16)</f>
        <v>914</v>
      </c>
      <c r="E17" s="92">
        <f>SUM(E15:E16)</f>
        <v>936</v>
      </c>
      <c r="F17" s="579" t="s">
        <v>371</v>
      </c>
    </row>
    <row r="18" spans="1:6" ht="15.75" thickBot="1" x14ac:dyDescent="0.3">
      <c r="A18" s="17"/>
      <c r="B18" s="93" t="s">
        <v>424</v>
      </c>
      <c r="C18" s="641">
        <f>_xlfn.CHISQ.TEST(C11:C12,C15:C16)</f>
        <v>1.0967422515470815E-2</v>
      </c>
      <c r="D18" s="642"/>
      <c r="E18" s="642"/>
      <c r="F18" s="643"/>
    </row>
    <row r="19" spans="1:6" x14ac:dyDescent="0.2">
      <c r="C19" s="3" t="s">
        <v>423</v>
      </c>
      <c r="D19" s="8"/>
      <c r="E19" s="9"/>
      <c r="F19" s="1"/>
    </row>
    <row r="20" spans="1:6" x14ac:dyDescent="0.2">
      <c r="B20" s="1"/>
      <c r="C20" s="1"/>
      <c r="D20" s="8"/>
      <c r="E20" s="9"/>
      <c r="F20" s="1"/>
    </row>
    <row r="21" spans="1:6" x14ac:dyDescent="0.2">
      <c r="B21" s="70"/>
      <c r="C21" s="96"/>
      <c r="D21" s="8"/>
      <c r="E21" s="9"/>
      <c r="F21" s="1"/>
    </row>
  </sheetData>
  <mergeCells count="4">
    <mergeCell ref="C5:F5"/>
    <mergeCell ref="D4:F4"/>
    <mergeCell ref="C18:F18"/>
    <mergeCell ref="B7:F7"/>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B1" workbookViewId="0">
      <selection activeCell="D30" sqref="D30"/>
    </sheetView>
  </sheetViews>
  <sheetFormatPr baseColWidth="10" defaultRowHeight="12.75" x14ac:dyDescent="0.2"/>
  <cols>
    <col min="1" max="1" width="3.5703125" customWidth="1"/>
    <col min="2" max="2" width="18.28515625" customWidth="1"/>
    <col min="3" max="3" width="19.140625" customWidth="1"/>
    <col min="4" max="4" width="19.5703125" customWidth="1"/>
    <col min="5" max="5" width="18.7109375" customWidth="1"/>
    <col min="6" max="6" width="21.42578125" customWidth="1"/>
  </cols>
  <sheetData>
    <row r="1" spans="2:6" ht="15.75" x14ac:dyDescent="0.25">
      <c r="B1" s="10" t="s">
        <v>8</v>
      </c>
      <c r="C1" s="11"/>
      <c r="D1" s="12" t="s">
        <v>425</v>
      </c>
      <c r="E1" s="11"/>
      <c r="F1" s="61"/>
    </row>
    <row r="2" spans="2:6" ht="15.75" x14ac:dyDescent="0.25">
      <c r="B2" s="10" t="s">
        <v>16</v>
      </c>
      <c r="C2" s="11"/>
      <c r="D2" s="12" t="s">
        <v>426</v>
      </c>
      <c r="E2" s="11"/>
      <c r="F2" s="61"/>
    </row>
    <row r="3" spans="2:6" ht="15" x14ac:dyDescent="0.2">
      <c r="B3" s="10" t="s">
        <v>17</v>
      </c>
      <c r="C3" s="11"/>
      <c r="D3" s="10" t="s">
        <v>18</v>
      </c>
      <c r="E3" s="11"/>
      <c r="F3" s="61"/>
    </row>
    <row r="4" spans="2:6" ht="15" customHeight="1" x14ac:dyDescent="0.2">
      <c r="B4" s="10" t="s">
        <v>19</v>
      </c>
      <c r="C4" s="11"/>
      <c r="D4" s="612" t="s">
        <v>427</v>
      </c>
      <c r="E4" s="640"/>
      <c r="F4" s="600"/>
    </row>
    <row r="5" spans="2:6" ht="41.25" customHeight="1" x14ac:dyDescent="0.2">
      <c r="B5" s="13" t="s">
        <v>20</v>
      </c>
      <c r="C5" s="611" t="s">
        <v>55</v>
      </c>
      <c r="D5" s="635"/>
      <c r="E5" s="635"/>
      <c r="F5" s="600"/>
    </row>
    <row r="8" spans="2:6" ht="13.5" thickBot="1" x14ac:dyDescent="0.25"/>
    <row r="9" spans="2:6" ht="13.5" thickBot="1" x14ac:dyDescent="0.25">
      <c r="B9" s="79" t="s">
        <v>10</v>
      </c>
      <c r="C9" s="87" t="s">
        <v>11</v>
      </c>
      <c r="D9" s="88" t="s">
        <v>40</v>
      </c>
      <c r="E9" s="89" t="s">
        <v>12</v>
      </c>
      <c r="F9" s="90"/>
    </row>
    <row r="10" spans="2:6" x14ac:dyDescent="0.2">
      <c r="B10" s="72" t="s">
        <v>13</v>
      </c>
      <c r="C10" s="17"/>
      <c r="D10" s="24"/>
      <c r="E10" s="1"/>
      <c r="F10" s="24"/>
    </row>
    <row r="11" spans="2:6" x14ac:dyDescent="0.2">
      <c r="B11" s="73" t="s">
        <v>14</v>
      </c>
      <c r="C11" s="44">
        <v>12</v>
      </c>
      <c r="D11" s="44">
        <v>704</v>
      </c>
      <c r="E11" s="97">
        <f>SUM(C11:D11)</f>
        <v>716</v>
      </c>
      <c r="F11" s="76" t="s">
        <v>35</v>
      </c>
    </row>
    <row r="12" spans="2:6" x14ac:dyDescent="0.2">
      <c r="B12" s="74" t="s">
        <v>33</v>
      </c>
      <c r="C12" s="33">
        <v>10</v>
      </c>
      <c r="D12" s="45">
        <v>210</v>
      </c>
      <c r="E12" s="83">
        <f>SUM(C12:D12)</f>
        <v>220</v>
      </c>
      <c r="F12" s="77" t="s">
        <v>367</v>
      </c>
    </row>
    <row r="13" spans="2:6" ht="13.5" thickBot="1" x14ac:dyDescent="0.25">
      <c r="B13" s="84" t="s">
        <v>12</v>
      </c>
      <c r="C13" s="80">
        <f>SUM(C11:C12)</f>
        <v>22</v>
      </c>
      <c r="D13" s="81">
        <f>SUM(D11:D12)</f>
        <v>914</v>
      </c>
      <c r="E13" s="91">
        <f>SUM(E11:E12)</f>
        <v>936</v>
      </c>
      <c r="F13" s="78" t="s">
        <v>368</v>
      </c>
    </row>
    <row r="14" spans="2:6" x14ac:dyDescent="0.2">
      <c r="B14" s="72" t="s">
        <v>15</v>
      </c>
      <c r="C14" s="94"/>
      <c r="D14" s="95"/>
      <c r="E14" s="86"/>
      <c r="F14" s="85"/>
    </row>
    <row r="15" spans="2:6" x14ac:dyDescent="0.2">
      <c r="B15" s="73" t="s">
        <v>14</v>
      </c>
      <c r="C15" s="32">
        <v>17</v>
      </c>
      <c r="D15" s="44">
        <v>699</v>
      </c>
      <c r="E15" s="44">
        <f>SUM(C15:D15)</f>
        <v>716</v>
      </c>
      <c r="F15" s="578" t="s">
        <v>38</v>
      </c>
    </row>
    <row r="16" spans="2:6" x14ac:dyDescent="0.2">
      <c r="B16" s="74" t="s">
        <v>33</v>
      </c>
      <c r="C16" s="33">
        <v>5</v>
      </c>
      <c r="D16" s="45">
        <v>215</v>
      </c>
      <c r="E16" s="45">
        <f>SUM(C16:D16)</f>
        <v>220</v>
      </c>
      <c r="F16" s="20" t="s">
        <v>370</v>
      </c>
    </row>
    <row r="17" spans="1:6" ht="13.5" thickBot="1" x14ac:dyDescent="0.25">
      <c r="B17" s="84" t="s">
        <v>12</v>
      </c>
      <c r="C17" s="80">
        <f>SUM(C15:C16)</f>
        <v>22</v>
      </c>
      <c r="D17" s="81">
        <f>SUM(D15:D16)</f>
        <v>914</v>
      </c>
      <c r="E17" s="92">
        <f>SUM(E15:E16)</f>
        <v>936</v>
      </c>
      <c r="F17" s="579" t="s">
        <v>371</v>
      </c>
    </row>
    <row r="18" spans="1:6" x14ac:dyDescent="0.2">
      <c r="B18" s="117"/>
      <c r="C18" s="82"/>
      <c r="D18" s="82"/>
      <c r="E18" s="118"/>
      <c r="F18" s="1"/>
    </row>
    <row r="19" spans="1:6" ht="13.5" thickBot="1" x14ac:dyDescent="0.25">
      <c r="B19" s="117"/>
      <c r="C19" s="82"/>
      <c r="D19" s="82"/>
      <c r="E19" s="118"/>
      <c r="F19" s="1"/>
    </row>
    <row r="20" spans="1:6" ht="13.5" thickBot="1" x14ac:dyDescent="0.25">
      <c r="B20" s="103" t="s">
        <v>47</v>
      </c>
      <c r="C20" s="102"/>
      <c r="D20" s="104"/>
      <c r="E20" s="9"/>
      <c r="F20" s="1"/>
    </row>
    <row r="21" spans="1:6" ht="17.25" customHeight="1" x14ac:dyDescent="0.2">
      <c r="B21" s="644" t="s">
        <v>58</v>
      </c>
      <c r="C21" s="639"/>
      <c r="D21" s="125">
        <v>2.5000000000000001E-2</v>
      </c>
      <c r="E21" s="112" t="s">
        <v>52</v>
      </c>
      <c r="F21" s="1"/>
    </row>
    <row r="22" spans="1:6" ht="13.5" thickBot="1" x14ac:dyDescent="0.25">
      <c r="B22" s="99" t="s">
        <v>44</v>
      </c>
      <c r="C22" s="59"/>
      <c r="D22" s="46">
        <f>COUNT(C11:C12)-1</f>
        <v>1</v>
      </c>
      <c r="E22" s="105" t="s">
        <v>45</v>
      </c>
      <c r="F22" s="1"/>
    </row>
    <row r="23" spans="1:6" ht="13.5" thickBot="1" x14ac:dyDescent="0.25">
      <c r="B23" s="101" t="s">
        <v>46</v>
      </c>
      <c r="C23" s="124"/>
      <c r="D23" s="108">
        <f>_xlfn.CHISQ.INV.RT(D21,D22)</f>
        <v>5.0238861873148863</v>
      </c>
      <c r="E23" s="105" t="s">
        <v>428</v>
      </c>
      <c r="F23" s="1"/>
    </row>
    <row r="24" spans="1:6" x14ac:dyDescent="0.2">
      <c r="C24" s="3"/>
      <c r="D24" s="8"/>
      <c r="E24" s="9"/>
      <c r="F24" s="1"/>
    </row>
    <row r="25" spans="1:6" ht="13.5" thickBot="1" x14ac:dyDescent="0.25">
      <c r="C25" s="3"/>
      <c r="D25" s="8"/>
      <c r="E25" s="9"/>
      <c r="F25" s="1"/>
    </row>
    <row r="26" spans="1:6" ht="13.5" thickBot="1" x14ac:dyDescent="0.25">
      <c r="A26" s="17"/>
      <c r="B26" s="103" t="s">
        <v>57</v>
      </c>
      <c r="C26" s="102"/>
      <c r="D26" s="119"/>
      <c r="E26" s="9"/>
      <c r="F26" s="1"/>
    </row>
    <row r="27" spans="1:6" x14ac:dyDescent="0.2">
      <c r="A27" s="17"/>
      <c r="B27" s="647" t="s">
        <v>48</v>
      </c>
      <c r="C27" s="632"/>
      <c r="D27" s="106">
        <f>(C11-C15)^2/C15</f>
        <v>1.4705882352941178</v>
      </c>
      <c r="E27" s="9"/>
      <c r="F27" s="1"/>
    </row>
    <row r="28" spans="1:6" x14ac:dyDescent="0.2">
      <c r="A28" s="17"/>
      <c r="B28" s="111" t="s">
        <v>49</v>
      </c>
      <c r="C28" s="20"/>
      <c r="D28" s="33">
        <f>(C12-C16)^2/C16</f>
        <v>5</v>
      </c>
      <c r="E28" s="9"/>
      <c r="F28" s="1"/>
    </row>
    <row r="29" spans="1:6" ht="13.5" thickBot="1" x14ac:dyDescent="0.25">
      <c r="A29" s="17"/>
      <c r="B29" s="126" t="s">
        <v>56</v>
      </c>
      <c r="C29" s="127"/>
      <c r="D29" s="128">
        <f>SUM(D27:D28)</f>
        <v>6.4705882352941178</v>
      </c>
      <c r="E29" s="9"/>
      <c r="F29" s="1"/>
    </row>
    <row r="30" spans="1:6" ht="13.5" thickBot="1" x14ac:dyDescent="0.25">
      <c r="A30" s="17"/>
      <c r="B30" s="101" t="s">
        <v>430</v>
      </c>
      <c r="C30" s="107"/>
      <c r="D30" s="123">
        <f>_xlfn.CHISQ.DIST.RT(D29,D22)</f>
        <v>1.0967422515470815E-2</v>
      </c>
      <c r="E30" s="105" t="s">
        <v>429</v>
      </c>
      <c r="F30" s="1"/>
    </row>
    <row r="31" spans="1:6" x14ac:dyDescent="0.2">
      <c r="A31" s="1"/>
      <c r="B31" s="120"/>
      <c r="C31" s="121"/>
      <c r="D31" s="122"/>
      <c r="E31" s="9"/>
      <c r="F31" s="1"/>
    </row>
    <row r="32" spans="1:6" x14ac:dyDescent="0.2">
      <c r="A32" s="1"/>
      <c r="B32" s="41" t="s">
        <v>41</v>
      </c>
      <c r="C32" s="121"/>
      <c r="D32" s="122"/>
      <c r="E32" s="9"/>
      <c r="F32" s="1"/>
    </row>
    <row r="33" spans="2:6" ht="26.25" customHeight="1" x14ac:dyDescent="0.2">
      <c r="B33" s="648" t="s">
        <v>457</v>
      </c>
      <c r="C33" s="649"/>
      <c r="D33" s="649"/>
      <c r="E33" s="649"/>
      <c r="F33" s="649"/>
    </row>
    <row r="34" spans="2:6" x14ac:dyDescent="0.2">
      <c r="B34" s="5" t="s">
        <v>59</v>
      </c>
      <c r="C34" s="5"/>
      <c r="D34" s="5"/>
      <c r="E34" s="5"/>
      <c r="F34" s="5"/>
    </row>
  </sheetData>
  <mergeCells count="5">
    <mergeCell ref="B27:C27"/>
    <mergeCell ref="B33:F33"/>
    <mergeCell ref="C5:F5"/>
    <mergeCell ref="D4:F4"/>
    <mergeCell ref="B21:C21"/>
  </mergeCells>
  <phoneticPr fontId="5" type="noConversion"/>
  <pageMargins left="0.78740157499999996" right="0.78740157499999996" top="0.984251969" bottom="0.984251969" header="0.4921259845" footer="0.4921259845"/>
  <pageSetup paperSize="9" orientation="portrait" horizontalDpi="200" verticalDpi="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B1" workbookViewId="0">
      <selection activeCell="B8" sqref="B8"/>
    </sheetView>
  </sheetViews>
  <sheetFormatPr baseColWidth="10" defaultRowHeight="12.75" x14ac:dyDescent="0.2"/>
  <cols>
    <col min="1" max="1" width="3.5703125" customWidth="1"/>
    <col min="2" max="2" width="18.28515625" customWidth="1"/>
    <col min="3" max="3" width="19.140625" customWidth="1"/>
    <col min="4" max="4" width="19.5703125" customWidth="1"/>
    <col min="5" max="5" width="18.7109375" customWidth="1"/>
    <col min="6" max="6" width="21.42578125" customWidth="1"/>
  </cols>
  <sheetData>
    <row r="1" spans="2:6" ht="15.75" x14ac:dyDescent="0.25">
      <c r="B1" s="10" t="s">
        <v>8</v>
      </c>
      <c r="C1" s="11"/>
      <c r="D1" s="12" t="s">
        <v>444</v>
      </c>
      <c r="E1" s="11"/>
      <c r="F1" s="61"/>
    </row>
    <row r="2" spans="2:6" ht="15.75" x14ac:dyDescent="0.25">
      <c r="B2" s="10" t="s">
        <v>16</v>
      </c>
      <c r="C2" s="11"/>
      <c r="D2" s="12" t="s">
        <v>445</v>
      </c>
      <c r="E2" s="11"/>
      <c r="F2" s="61"/>
    </row>
    <row r="3" spans="2:6" ht="15" x14ac:dyDescent="0.2">
      <c r="B3" s="10" t="s">
        <v>17</v>
      </c>
      <c r="C3" s="11"/>
      <c r="D3" s="10" t="s">
        <v>18</v>
      </c>
      <c r="E3" s="11"/>
      <c r="F3" s="61"/>
    </row>
    <row r="4" spans="2:6" ht="15" customHeight="1" x14ac:dyDescent="0.2">
      <c r="B4" s="10" t="s">
        <v>19</v>
      </c>
      <c r="C4" s="11"/>
      <c r="D4" s="612" t="s">
        <v>446</v>
      </c>
      <c r="E4" s="640"/>
      <c r="F4" s="600"/>
    </row>
    <row r="5" spans="2:6" ht="41.25" customHeight="1" x14ac:dyDescent="0.2">
      <c r="B5" s="13" t="s">
        <v>20</v>
      </c>
      <c r="C5" s="611" t="s">
        <v>55</v>
      </c>
      <c r="D5" s="635"/>
      <c r="E5" s="635"/>
      <c r="F5" s="600"/>
    </row>
    <row r="8" spans="2:6" ht="15.75" x14ac:dyDescent="0.25">
      <c r="B8" s="260" t="s">
        <v>581</v>
      </c>
    </row>
    <row r="21" spans="1:6" ht="17.25" customHeight="1" x14ac:dyDescent="0.2"/>
    <row r="31" spans="1:6" x14ac:dyDescent="0.2">
      <c r="A31" s="1"/>
      <c r="B31" s="120"/>
      <c r="C31" s="121"/>
      <c r="D31" s="122"/>
      <c r="E31" s="9"/>
      <c r="F31" s="1"/>
    </row>
    <row r="32" spans="1:6" x14ac:dyDescent="0.2">
      <c r="A32" s="1"/>
      <c r="B32" s="41"/>
      <c r="C32" s="121"/>
      <c r="D32" s="122"/>
      <c r="E32" s="9"/>
      <c r="F32" s="1"/>
    </row>
    <row r="33" spans="2:6" ht="26.25" customHeight="1" x14ac:dyDescent="0.2">
      <c r="B33" s="648"/>
      <c r="C33" s="649"/>
      <c r="D33" s="649"/>
      <c r="E33" s="649"/>
      <c r="F33" s="649"/>
    </row>
    <row r="34" spans="2:6" x14ac:dyDescent="0.2">
      <c r="B34" s="5"/>
      <c r="C34" s="5"/>
      <c r="D34" s="5"/>
      <c r="E34" s="5"/>
      <c r="F34" s="5"/>
    </row>
  </sheetData>
  <mergeCells count="3">
    <mergeCell ref="B33:F33"/>
    <mergeCell ref="D4:F4"/>
    <mergeCell ref="C5:F5"/>
  </mergeCells>
  <pageMargins left="0.78740157499999996" right="0.78740157499999996" top="0.984251969" bottom="0.984251969" header="0.4921259845" footer="0.4921259845"/>
  <pageSetup paperSize="9"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45</vt:i4>
      </vt:variant>
    </vt:vector>
  </HeadingPairs>
  <TitlesOfParts>
    <vt:vector size="45" baseType="lpstr">
      <vt:lpstr>Beta.inv</vt:lpstr>
      <vt:lpstr>Beta.vert</vt:lpstr>
      <vt:lpstr>Binom.inv (Kritbinom)</vt:lpstr>
      <vt:lpstr>Binom.vert</vt:lpstr>
      <vt:lpstr>ChiQu.Inv.Re</vt:lpstr>
      <vt:lpstr>ChiQu.Inv</vt:lpstr>
      <vt:lpstr>ChiQu.Test</vt:lpstr>
      <vt:lpstr>ChiQu.Vert.Re</vt:lpstr>
      <vt:lpstr>ChiQu.Vert</vt:lpstr>
      <vt:lpstr>Expon.vert</vt:lpstr>
      <vt:lpstr>F-Tabelle für Fkrit</vt:lpstr>
      <vt:lpstr>F.inv.re</vt:lpstr>
      <vt:lpstr>F.inv</vt:lpstr>
      <vt:lpstr>Fisher</vt:lpstr>
      <vt:lpstr>Fisherinv</vt:lpstr>
      <vt:lpstr>Ftest</vt:lpstr>
      <vt:lpstr>F.vert.re</vt:lpstr>
      <vt:lpstr>F.vert</vt:lpstr>
      <vt:lpstr>Gamma.inv</vt:lpstr>
      <vt:lpstr>Gammaln</vt:lpstr>
      <vt:lpstr>Gammaln.genau</vt:lpstr>
      <vt:lpstr>Gamma.vert</vt:lpstr>
      <vt:lpstr>G.test</vt:lpstr>
      <vt:lpstr>Hypgeom.vert</vt:lpstr>
      <vt:lpstr>Konfidenz.norm</vt:lpstr>
      <vt:lpstr>Konfidenz.t</vt:lpstr>
      <vt:lpstr>Lognorm.inv</vt:lpstr>
      <vt:lpstr>Lognorm.vert</vt:lpstr>
      <vt:lpstr>Negbinom.vert</vt:lpstr>
      <vt:lpstr>Norm.inv</vt:lpstr>
      <vt:lpstr>Norm.s.inv</vt:lpstr>
      <vt:lpstr>Norm.s.vert</vt:lpstr>
      <vt:lpstr>Norm.vert</vt:lpstr>
      <vt:lpstr>Poisson.vert</vt:lpstr>
      <vt:lpstr>Standardisierung</vt:lpstr>
      <vt:lpstr>Stfehleryx</vt:lpstr>
      <vt:lpstr>T.inv.2s</vt:lpstr>
      <vt:lpstr>T.inv</vt:lpstr>
      <vt:lpstr>T.test</vt:lpstr>
      <vt:lpstr>T.vert.2s</vt:lpstr>
      <vt:lpstr>T.vert</vt:lpstr>
      <vt:lpstr>T.vert.re</vt:lpstr>
      <vt:lpstr>Variationen</vt:lpstr>
      <vt:lpstr>Wahrschbereich</vt:lpstr>
      <vt:lpstr>Weibull.vert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Reinke/Sara Unverhau</dc:creator>
  <cp:lastModifiedBy>Sara Unverhau</cp:lastModifiedBy>
  <dcterms:created xsi:type="dcterms:W3CDTF">2005-07-04T10:11:20Z</dcterms:created>
  <dcterms:modified xsi:type="dcterms:W3CDTF">2010-10-04T16:08:52Z</dcterms:modified>
</cp:coreProperties>
</file>