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2.xml" ContentType="application/vnd.openxmlformats-officedocument.spreadsheetml.table+xml"/>
  <Override PartName="/xl/drawings/drawing5.xml" ContentType="application/vnd.openxmlformats-officedocument.drawing+xml"/>
  <Override PartName="/xl/tables/table3.xml" ContentType="application/vnd.openxmlformats-officedocument.spreadsheetml.tabl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drawings/drawing7.xml" ContentType="application/vnd.openxmlformats-officedocument.drawing+xml"/>
  <Override PartName="/xl/tables/table5.xml" ContentType="application/vnd.openxmlformats-officedocument.spreadsheetml.table+xml"/>
  <Override PartName="/xl/pivotTables/pivotTable2.xml" ContentType="application/vnd.openxmlformats-officedocument.spreadsheetml.pivotTable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DieseArbeitsmappe"/>
  <bookViews>
    <workbookView xWindow="0" yWindow="0" windowWidth="16260" windowHeight="8100" tabRatio="885"/>
  </bookViews>
  <sheets>
    <sheet name="Info" sheetId="3" r:id="rId1"/>
    <sheet name="Basisdaten" sheetId="53" r:id="rId2"/>
    <sheet name="aus PivotTable" sheetId="48" r:id="rId3"/>
    <sheet name="mit Schnellanalyse" sheetId="54" r:id="rId4"/>
    <sheet name="manuell aus Tabelle" sheetId="56" r:id="rId5"/>
    <sheet name="über empfohlene Diagramme" sheetId="58" r:id="rId6"/>
    <sheet name="für Filter" sheetId="62" r:id="rId7"/>
    <sheet name="Filter" sheetId="66" r:id="rId8"/>
  </sheets>
  <calcPr calcId="152511"/>
  <pivotCaches>
    <pivotCache cacheId="2" r:id="rId9"/>
    <pivotCache cacheId="3" r:id="rId10"/>
  </pivotCaches>
</workbook>
</file>

<file path=xl/calcChain.xml><?xml version="1.0" encoding="utf-8"?>
<calcChain xmlns="http://schemas.openxmlformats.org/spreadsheetml/2006/main">
  <c r="C3005" i="58" l="1"/>
  <c r="C3004" i="58"/>
  <c r="C3003" i="58"/>
  <c r="C3002" i="58"/>
  <c r="C3001" i="58"/>
  <c r="C3000" i="58"/>
  <c r="C2999" i="58"/>
  <c r="C2998" i="58"/>
  <c r="C2997" i="58"/>
  <c r="C2996" i="58"/>
  <c r="C2995" i="58"/>
  <c r="C2994" i="58"/>
  <c r="C2993" i="58"/>
  <c r="C2992" i="58"/>
  <c r="C2991" i="58"/>
  <c r="C2990" i="58"/>
  <c r="C2989" i="58"/>
  <c r="C2988" i="58"/>
  <c r="C2987" i="58"/>
  <c r="C2986" i="58"/>
  <c r="C2985" i="58"/>
  <c r="C2984" i="58"/>
  <c r="C2983" i="58"/>
  <c r="C2982" i="58"/>
  <c r="C2981" i="58"/>
  <c r="C2980" i="58"/>
  <c r="C2979" i="58"/>
  <c r="C2978" i="58"/>
  <c r="C2977" i="58"/>
  <c r="C2976" i="58"/>
  <c r="C2975" i="58"/>
  <c r="C2974" i="58"/>
  <c r="C2973" i="58"/>
  <c r="C2972" i="58"/>
  <c r="C2971" i="58"/>
  <c r="C2970" i="58"/>
  <c r="C2969" i="58"/>
  <c r="C2968" i="58"/>
  <c r="C2967" i="58"/>
  <c r="C2966" i="58"/>
  <c r="C2965" i="58"/>
  <c r="C2964" i="58"/>
  <c r="C2963" i="58"/>
  <c r="C2962" i="58"/>
  <c r="C2961" i="58"/>
  <c r="C2960" i="58"/>
  <c r="C2959" i="58"/>
  <c r="C2958" i="58"/>
  <c r="C2957" i="58"/>
  <c r="C2956" i="58"/>
  <c r="C2955" i="58"/>
  <c r="C2954" i="58"/>
  <c r="C2953" i="58"/>
  <c r="C2952" i="58"/>
  <c r="C2951" i="58"/>
  <c r="C2950" i="58"/>
  <c r="C2949" i="58"/>
  <c r="C2948" i="58"/>
  <c r="C2947" i="58"/>
  <c r="C2946" i="58"/>
  <c r="C2945" i="58"/>
  <c r="C2944" i="58"/>
  <c r="C2943" i="58"/>
  <c r="C2942" i="58"/>
  <c r="C2941" i="58"/>
  <c r="C2940" i="58"/>
  <c r="C2939" i="58"/>
  <c r="C2938" i="58"/>
  <c r="C2937" i="58"/>
  <c r="C2936" i="58"/>
  <c r="C2935" i="58"/>
  <c r="C2934" i="58"/>
  <c r="C2933" i="58"/>
  <c r="C2932" i="58"/>
  <c r="C2931" i="58"/>
  <c r="C2930" i="58"/>
  <c r="C2929" i="58"/>
  <c r="C2928" i="58"/>
  <c r="C2927" i="58"/>
  <c r="C2926" i="58"/>
  <c r="C2925" i="58"/>
  <c r="C2924" i="58"/>
  <c r="C2923" i="58"/>
  <c r="C2922" i="58"/>
  <c r="C2921" i="58"/>
  <c r="C2920" i="58"/>
  <c r="C2919" i="58"/>
  <c r="C2918" i="58"/>
  <c r="C2917" i="58"/>
  <c r="C2916" i="58"/>
  <c r="C2915" i="58"/>
  <c r="C2914" i="58"/>
  <c r="C2913" i="58"/>
  <c r="C2912" i="58"/>
  <c r="C2911" i="58"/>
  <c r="C2910" i="58"/>
  <c r="C2909" i="58"/>
  <c r="C2908" i="58"/>
  <c r="C2907" i="58"/>
  <c r="C2906" i="58"/>
  <c r="C2905" i="58"/>
  <c r="C2904" i="58"/>
  <c r="C2903" i="58"/>
  <c r="C2902" i="58"/>
  <c r="C2901" i="58"/>
  <c r="C2900" i="58"/>
  <c r="C2899" i="58"/>
  <c r="C2898" i="58"/>
  <c r="C2897" i="58"/>
  <c r="C2896" i="58"/>
  <c r="C2895" i="58"/>
  <c r="C2894" i="58"/>
  <c r="C2893" i="58"/>
  <c r="C2892" i="58"/>
  <c r="C2891" i="58"/>
  <c r="C2890" i="58"/>
  <c r="C2889" i="58"/>
  <c r="C2888" i="58"/>
  <c r="C2887" i="58"/>
  <c r="C2886" i="58"/>
  <c r="C2885" i="58"/>
  <c r="C2884" i="58"/>
  <c r="C2883" i="58"/>
  <c r="C2882" i="58"/>
  <c r="C2881" i="58"/>
  <c r="C2880" i="58"/>
  <c r="C2879" i="58"/>
  <c r="C2878" i="58"/>
  <c r="C2877" i="58"/>
  <c r="C2876" i="58"/>
  <c r="C2875" i="58"/>
  <c r="C2874" i="58"/>
  <c r="C2873" i="58"/>
  <c r="C2872" i="58"/>
  <c r="C2871" i="58"/>
  <c r="C2870" i="58"/>
  <c r="C2869" i="58"/>
  <c r="C2868" i="58"/>
  <c r="C2867" i="58"/>
  <c r="C2866" i="58"/>
  <c r="C2865" i="58"/>
  <c r="C2864" i="58"/>
  <c r="C2863" i="58"/>
  <c r="C2862" i="58"/>
  <c r="C2861" i="58"/>
  <c r="C2860" i="58"/>
  <c r="C2859" i="58"/>
  <c r="C2858" i="58"/>
  <c r="C2857" i="58"/>
  <c r="C2856" i="58"/>
  <c r="C2855" i="58"/>
  <c r="C2854" i="58"/>
  <c r="C2853" i="58"/>
  <c r="C2852" i="58"/>
  <c r="C2851" i="58"/>
  <c r="C2850" i="58"/>
  <c r="C2849" i="58"/>
  <c r="C2848" i="58"/>
  <c r="C2847" i="58"/>
  <c r="C2846" i="58"/>
  <c r="C2845" i="58"/>
  <c r="C2844" i="58"/>
  <c r="C2843" i="58"/>
  <c r="C2842" i="58"/>
  <c r="C2841" i="58"/>
  <c r="C2840" i="58"/>
  <c r="C2839" i="58"/>
  <c r="C2838" i="58"/>
  <c r="C2837" i="58"/>
  <c r="C2836" i="58"/>
  <c r="C2835" i="58"/>
  <c r="C2834" i="58"/>
  <c r="C2833" i="58"/>
  <c r="C2832" i="58"/>
  <c r="C2831" i="58"/>
  <c r="C2830" i="58"/>
  <c r="C2829" i="58"/>
  <c r="C2828" i="58"/>
  <c r="C2827" i="58"/>
  <c r="C2826" i="58"/>
  <c r="C2825" i="58"/>
  <c r="C2824" i="58"/>
  <c r="C2823" i="58"/>
  <c r="C2822" i="58"/>
  <c r="C2821" i="58"/>
  <c r="C2820" i="58"/>
  <c r="C2819" i="58"/>
  <c r="C2818" i="58"/>
  <c r="C2817" i="58"/>
  <c r="C2816" i="58"/>
  <c r="C2815" i="58"/>
  <c r="C2814" i="58"/>
  <c r="C2813" i="58"/>
  <c r="C2812" i="58"/>
  <c r="C2811" i="58"/>
  <c r="C2810" i="58"/>
  <c r="C2809" i="58"/>
  <c r="C2808" i="58"/>
  <c r="C2807" i="58"/>
  <c r="C2806" i="58"/>
  <c r="C2805" i="58"/>
  <c r="C2804" i="58"/>
  <c r="C2803" i="58"/>
  <c r="C2802" i="58"/>
  <c r="C2801" i="58"/>
  <c r="C2800" i="58"/>
  <c r="C2799" i="58"/>
  <c r="C2798" i="58"/>
  <c r="C2797" i="58"/>
  <c r="C2796" i="58"/>
  <c r="C2795" i="58"/>
  <c r="C2794" i="58"/>
  <c r="C2793" i="58"/>
  <c r="C2792" i="58"/>
  <c r="C2791" i="58"/>
  <c r="C2790" i="58"/>
  <c r="C2789" i="58"/>
  <c r="C2788" i="58"/>
  <c r="C2787" i="58"/>
  <c r="C2786" i="58"/>
  <c r="C2785" i="58"/>
  <c r="C2784" i="58"/>
  <c r="C2783" i="58"/>
  <c r="C2782" i="58"/>
  <c r="C2781" i="58"/>
  <c r="C2780" i="58"/>
  <c r="C2779" i="58"/>
  <c r="C2778" i="58"/>
  <c r="C2777" i="58"/>
  <c r="C2776" i="58"/>
  <c r="C2775" i="58"/>
  <c r="C2774" i="58"/>
  <c r="C2773" i="58"/>
  <c r="C2772" i="58"/>
  <c r="C2771" i="58"/>
  <c r="C2770" i="58"/>
  <c r="C2769" i="58"/>
  <c r="C2768" i="58"/>
  <c r="C2767" i="58"/>
  <c r="C2766" i="58"/>
  <c r="C2765" i="58"/>
  <c r="C2764" i="58"/>
  <c r="C2763" i="58"/>
  <c r="C2762" i="58"/>
  <c r="C2761" i="58"/>
  <c r="C2760" i="58"/>
  <c r="C2759" i="58"/>
  <c r="C2758" i="58"/>
  <c r="C2757" i="58"/>
  <c r="C2756" i="58"/>
  <c r="C2755" i="58"/>
  <c r="C2754" i="58"/>
  <c r="C2753" i="58"/>
  <c r="C2752" i="58"/>
  <c r="C2751" i="58"/>
  <c r="C2750" i="58"/>
  <c r="C2749" i="58"/>
  <c r="C2748" i="58"/>
  <c r="C2747" i="58"/>
  <c r="C2746" i="58"/>
  <c r="C2745" i="58"/>
  <c r="C2744" i="58"/>
  <c r="C2743" i="58"/>
  <c r="C2742" i="58"/>
  <c r="C2741" i="58"/>
  <c r="C2740" i="58"/>
  <c r="C2739" i="58"/>
  <c r="C2738" i="58"/>
  <c r="C2737" i="58"/>
  <c r="C2736" i="58"/>
  <c r="C2735" i="58"/>
  <c r="C2734" i="58"/>
  <c r="C2733" i="58"/>
  <c r="C2732" i="58"/>
  <c r="C2731" i="58"/>
  <c r="C2730" i="58"/>
  <c r="C2729" i="58"/>
  <c r="C2728" i="58"/>
  <c r="C2727" i="58"/>
  <c r="C2726" i="58"/>
  <c r="C2725" i="58"/>
  <c r="C2724" i="58"/>
  <c r="C2723" i="58"/>
  <c r="C2722" i="58"/>
  <c r="C2721" i="58"/>
  <c r="C2720" i="58"/>
  <c r="C2719" i="58"/>
  <c r="C2718" i="58"/>
  <c r="C2717" i="58"/>
  <c r="C2716" i="58"/>
  <c r="C2715" i="58"/>
  <c r="C2714" i="58"/>
  <c r="C2713" i="58"/>
  <c r="C2712" i="58"/>
  <c r="C2711" i="58"/>
  <c r="C2710" i="58"/>
  <c r="C2709" i="58"/>
  <c r="C2708" i="58"/>
  <c r="C2707" i="58"/>
  <c r="C2706" i="58"/>
  <c r="C2705" i="58"/>
  <c r="C2704" i="58"/>
  <c r="C2703" i="58"/>
  <c r="C2702" i="58"/>
  <c r="C2701" i="58"/>
  <c r="C2700" i="58"/>
  <c r="C2699" i="58"/>
  <c r="C2698" i="58"/>
  <c r="C2697" i="58"/>
  <c r="C2696" i="58"/>
  <c r="C2695" i="58"/>
  <c r="C2694" i="58"/>
  <c r="C2693" i="58"/>
  <c r="C2692" i="58"/>
  <c r="C2691" i="58"/>
  <c r="C2690" i="58"/>
  <c r="C2689" i="58"/>
  <c r="C2688" i="58"/>
  <c r="C2687" i="58"/>
  <c r="C2686" i="58"/>
  <c r="C2685" i="58"/>
  <c r="C2684" i="58"/>
  <c r="C2683" i="58"/>
  <c r="C2682" i="58"/>
  <c r="C2681" i="58"/>
  <c r="C2680" i="58"/>
  <c r="C2679" i="58"/>
  <c r="C2678" i="58"/>
  <c r="C2677" i="58"/>
  <c r="C2676" i="58"/>
  <c r="C2675" i="58"/>
  <c r="C2674" i="58"/>
  <c r="C2673" i="58"/>
  <c r="C2672" i="58"/>
  <c r="C2671" i="58"/>
  <c r="C2670" i="58"/>
  <c r="C2669" i="58"/>
  <c r="C2668" i="58"/>
  <c r="C2667" i="58"/>
  <c r="C2666" i="58"/>
  <c r="C2665" i="58"/>
  <c r="C2664" i="58"/>
  <c r="C2663" i="58"/>
  <c r="C2662" i="58"/>
  <c r="C2661" i="58"/>
  <c r="C2660" i="58"/>
  <c r="C2659" i="58"/>
  <c r="C2658" i="58"/>
  <c r="C2657" i="58"/>
  <c r="C2656" i="58"/>
  <c r="C2655" i="58"/>
  <c r="C2654" i="58"/>
  <c r="C2653" i="58"/>
  <c r="C2652" i="58"/>
  <c r="C2651" i="58"/>
  <c r="C2650" i="58"/>
  <c r="C2649" i="58"/>
  <c r="C2648" i="58"/>
  <c r="C2647" i="58"/>
  <c r="C2646" i="58"/>
  <c r="C2645" i="58"/>
  <c r="C2644" i="58"/>
  <c r="C2643" i="58"/>
  <c r="C2642" i="58"/>
  <c r="C2641" i="58"/>
  <c r="C2640" i="58"/>
  <c r="C2639" i="58"/>
  <c r="C2638" i="58"/>
  <c r="C2637" i="58"/>
  <c r="C2636" i="58"/>
  <c r="C2635" i="58"/>
  <c r="C2634" i="58"/>
  <c r="C2633" i="58"/>
  <c r="C2632" i="58"/>
  <c r="C2631" i="58"/>
  <c r="C2630" i="58"/>
  <c r="C2629" i="58"/>
  <c r="C2628" i="58"/>
  <c r="C2627" i="58"/>
  <c r="C2626" i="58"/>
  <c r="C2625" i="58"/>
  <c r="C2624" i="58"/>
  <c r="C2623" i="58"/>
  <c r="C2622" i="58"/>
  <c r="C2621" i="58"/>
  <c r="C2620" i="58"/>
  <c r="C2619" i="58"/>
  <c r="C2618" i="58"/>
  <c r="C2617" i="58"/>
  <c r="C2616" i="58"/>
  <c r="C2615" i="58"/>
  <c r="C2614" i="58"/>
  <c r="C2613" i="58"/>
  <c r="C2612" i="58"/>
  <c r="C2611" i="58"/>
  <c r="C2610" i="58"/>
  <c r="C2609" i="58"/>
  <c r="C2608" i="58"/>
  <c r="C2607" i="58"/>
  <c r="C2606" i="58"/>
  <c r="C2605" i="58"/>
  <c r="C2604" i="58"/>
  <c r="C2603" i="58"/>
  <c r="C2602" i="58"/>
  <c r="C2601" i="58"/>
  <c r="C2600" i="58"/>
  <c r="C2599" i="58"/>
  <c r="C2598" i="58"/>
  <c r="C2597" i="58"/>
  <c r="C2596" i="58"/>
  <c r="C2595" i="58"/>
  <c r="C2594" i="58"/>
  <c r="C2593" i="58"/>
  <c r="C2592" i="58"/>
  <c r="C2591" i="58"/>
  <c r="C2590" i="58"/>
  <c r="C2589" i="58"/>
  <c r="C2588" i="58"/>
  <c r="C2587" i="58"/>
  <c r="C2586" i="58"/>
  <c r="C2585" i="58"/>
  <c r="C2584" i="58"/>
  <c r="C2583" i="58"/>
  <c r="C2582" i="58"/>
  <c r="C2581" i="58"/>
  <c r="C2580" i="58"/>
  <c r="C2579" i="58"/>
  <c r="C2578" i="58"/>
  <c r="C2577" i="58"/>
  <c r="C2576" i="58"/>
  <c r="C2575" i="58"/>
  <c r="C2574" i="58"/>
  <c r="C2573" i="58"/>
  <c r="C2572" i="58"/>
  <c r="C2571" i="58"/>
  <c r="C2570" i="58"/>
  <c r="C2569" i="58"/>
  <c r="C2568" i="58"/>
  <c r="C2567" i="58"/>
  <c r="C2566" i="58"/>
  <c r="C2565" i="58"/>
  <c r="C2564" i="58"/>
  <c r="C2563" i="58"/>
  <c r="C2562" i="58"/>
  <c r="C2561" i="58"/>
  <c r="C2560" i="58"/>
  <c r="C2559" i="58"/>
  <c r="C2558" i="58"/>
  <c r="C2557" i="58"/>
  <c r="C2556" i="58"/>
  <c r="C2555" i="58"/>
  <c r="C2554" i="58"/>
  <c r="C2553" i="58"/>
  <c r="C2552" i="58"/>
  <c r="C2551" i="58"/>
  <c r="C2550" i="58"/>
  <c r="C2549" i="58"/>
  <c r="C2548" i="58"/>
  <c r="C2547" i="58"/>
  <c r="C2546" i="58"/>
  <c r="C2545" i="58"/>
  <c r="C2544" i="58"/>
  <c r="C2543" i="58"/>
  <c r="C2542" i="58"/>
  <c r="C2541" i="58"/>
  <c r="C2540" i="58"/>
  <c r="C2539" i="58"/>
  <c r="C2538" i="58"/>
  <c r="C2537" i="58"/>
  <c r="C2536" i="58"/>
  <c r="C2535" i="58"/>
  <c r="C2534" i="58"/>
  <c r="C2533" i="58"/>
  <c r="C2532" i="58"/>
  <c r="C2531" i="58"/>
  <c r="C2530" i="58"/>
  <c r="C2529" i="58"/>
  <c r="C2528" i="58"/>
  <c r="C2527" i="58"/>
  <c r="C2526" i="58"/>
  <c r="C2525" i="58"/>
  <c r="C2524" i="58"/>
  <c r="C2523" i="58"/>
  <c r="C2522" i="58"/>
  <c r="C2521" i="58"/>
  <c r="C2520" i="58"/>
  <c r="C2519" i="58"/>
  <c r="C2518" i="58"/>
  <c r="C2517" i="58"/>
  <c r="C2516" i="58"/>
  <c r="C2515" i="58"/>
  <c r="C2514" i="58"/>
  <c r="C2513" i="58"/>
  <c r="C2512" i="58"/>
  <c r="C2511" i="58"/>
  <c r="C2510" i="58"/>
  <c r="C2509" i="58"/>
  <c r="C2508" i="58"/>
  <c r="C2507" i="58"/>
  <c r="C2506" i="58"/>
  <c r="C2505" i="58"/>
  <c r="C2504" i="58"/>
  <c r="C2503" i="58"/>
  <c r="C2502" i="58"/>
  <c r="C2501" i="58"/>
  <c r="C2500" i="58"/>
  <c r="C2499" i="58"/>
  <c r="C2498" i="58"/>
  <c r="C2497" i="58"/>
  <c r="C2496" i="58"/>
  <c r="C2495" i="58"/>
  <c r="C2494" i="58"/>
  <c r="C2493" i="58"/>
  <c r="C2492" i="58"/>
  <c r="C2491" i="58"/>
  <c r="C2490" i="58"/>
  <c r="C2489" i="58"/>
  <c r="C2488" i="58"/>
  <c r="C2487" i="58"/>
  <c r="C2486" i="58"/>
  <c r="C2485" i="58"/>
  <c r="C2484" i="58"/>
  <c r="C2483" i="58"/>
  <c r="C2482" i="58"/>
  <c r="C2481" i="58"/>
  <c r="C2480" i="58"/>
  <c r="C2479" i="58"/>
  <c r="C2478" i="58"/>
  <c r="C2477" i="58"/>
  <c r="C2476" i="58"/>
  <c r="C2475" i="58"/>
  <c r="C2474" i="58"/>
  <c r="C2473" i="58"/>
  <c r="C2472" i="58"/>
  <c r="C2471" i="58"/>
  <c r="C2470" i="58"/>
  <c r="C2469" i="58"/>
  <c r="C2468" i="58"/>
  <c r="C2467" i="58"/>
  <c r="C2466" i="58"/>
  <c r="C2465" i="58"/>
  <c r="C2464" i="58"/>
  <c r="C2463" i="58"/>
  <c r="C2462" i="58"/>
  <c r="C2461" i="58"/>
  <c r="C2460" i="58"/>
  <c r="C2459" i="58"/>
  <c r="C2458" i="58"/>
  <c r="C2457" i="58"/>
  <c r="C2456" i="58"/>
  <c r="C2455" i="58"/>
  <c r="C2454" i="58"/>
  <c r="C2453" i="58"/>
  <c r="C2452" i="58"/>
  <c r="C2451" i="58"/>
  <c r="C2450" i="58"/>
  <c r="C2449" i="58"/>
  <c r="C2448" i="58"/>
  <c r="C2447" i="58"/>
  <c r="C2446" i="58"/>
  <c r="C2445" i="58"/>
  <c r="C2444" i="58"/>
  <c r="C2443" i="58"/>
  <c r="C2442" i="58"/>
  <c r="C2441" i="58"/>
  <c r="C2440" i="58"/>
  <c r="C2439" i="58"/>
  <c r="C2438" i="58"/>
  <c r="C2437" i="58"/>
  <c r="C2436" i="58"/>
  <c r="C2435" i="58"/>
  <c r="C2434" i="58"/>
  <c r="C2433" i="58"/>
  <c r="C2432" i="58"/>
  <c r="C2431" i="58"/>
  <c r="C2430" i="58"/>
  <c r="C2429" i="58"/>
  <c r="C2428" i="58"/>
  <c r="C2427" i="58"/>
  <c r="C2426" i="58"/>
  <c r="C2425" i="58"/>
  <c r="C2424" i="58"/>
  <c r="C2423" i="58"/>
  <c r="C2422" i="58"/>
  <c r="C2421" i="58"/>
  <c r="C2420" i="58"/>
  <c r="C2419" i="58"/>
  <c r="C2418" i="58"/>
  <c r="C2417" i="58"/>
  <c r="C2416" i="58"/>
  <c r="C2415" i="58"/>
  <c r="C2414" i="58"/>
  <c r="C2413" i="58"/>
  <c r="C2412" i="58"/>
  <c r="C2411" i="58"/>
  <c r="C2410" i="58"/>
  <c r="C2409" i="58"/>
  <c r="C2408" i="58"/>
  <c r="C2407" i="58"/>
  <c r="C2406" i="58"/>
  <c r="C2405" i="58"/>
  <c r="C2404" i="58"/>
  <c r="C2403" i="58"/>
  <c r="C2402" i="58"/>
  <c r="C2401" i="58"/>
  <c r="C2400" i="58"/>
  <c r="C2399" i="58"/>
  <c r="C2398" i="58"/>
  <c r="C2397" i="58"/>
  <c r="C2396" i="58"/>
  <c r="C2395" i="58"/>
  <c r="C2394" i="58"/>
  <c r="C2393" i="58"/>
  <c r="C2392" i="58"/>
  <c r="C2391" i="58"/>
  <c r="C2390" i="58"/>
  <c r="C2389" i="58"/>
  <c r="C2388" i="58"/>
  <c r="C2387" i="58"/>
  <c r="C2386" i="58"/>
  <c r="C2385" i="58"/>
  <c r="C2384" i="58"/>
  <c r="C2383" i="58"/>
  <c r="C2382" i="58"/>
  <c r="C2381" i="58"/>
  <c r="C2380" i="58"/>
  <c r="C2379" i="58"/>
  <c r="C2378" i="58"/>
  <c r="C2377" i="58"/>
  <c r="C2376" i="58"/>
  <c r="C2375" i="58"/>
  <c r="C2374" i="58"/>
  <c r="C2373" i="58"/>
  <c r="C2372" i="58"/>
  <c r="C2371" i="58"/>
  <c r="C2370" i="58"/>
  <c r="C2369" i="58"/>
  <c r="C2368" i="58"/>
  <c r="C2367" i="58"/>
  <c r="C2366" i="58"/>
  <c r="C2365" i="58"/>
  <c r="C2364" i="58"/>
  <c r="C2363" i="58"/>
  <c r="C2362" i="58"/>
  <c r="C2361" i="58"/>
  <c r="C2360" i="58"/>
  <c r="C2359" i="58"/>
  <c r="C2358" i="58"/>
  <c r="C2357" i="58"/>
  <c r="C2356" i="58"/>
  <c r="C2355" i="58"/>
  <c r="C2354" i="58"/>
  <c r="C2353" i="58"/>
  <c r="C2352" i="58"/>
  <c r="C2351" i="58"/>
  <c r="C2350" i="58"/>
  <c r="C2349" i="58"/>
  <c r="C2348" i="58"/>
  <c r="C2347" i="58"/>
  <c r="C2346" i="58"/>
  <c r="C2345" i="58"/>
  <c r="C2344" i="58"/>
  <c r="C2343" i="58"/>
  <c r="C2342" i="58"/>
  <c r="C2341" i="58"/>
  <c r="C2340" i="58"/>
  <c r="C2339" i="58"/>
  <c r="C2338" i="58"/>
  <c r="C2337" i="58"/>
  <c r="C2336" i="58"/>
  <c r="C2335" i="58"/>
  <c r="C2334" i="58"/>
  <c r="C2333" i="58"/>
  <c r="C2332" i="58"/>
  <c r="C2331" i="58"/>
  <c r="C2330" i="58"/>
  <c r="C2329" i="58"/>
  <c r="C2328" i="58"/>
  <c r="C2327" i="58"/>
  <c r="C2326" i="58"/>
  <c r="C2325" i="58"/>
  <c r="C2324" i="58"/>
  <c r="C2323" i="58"/>
  <c r="C2322" i="58"/>
  <c r="C2321" i="58"/>
  <c r="C2320" i="58"/>
  <c r="C2319" i="58"/>
  <c r="C2318" i="58"/>
  <c r="C2317" i="58"/>
  <c r="C2316" i="58"/>
  <c r="C2315" i="58"/>
  <c r="C2314" i="58"/>
  <c r="C2313" i="58"/>
  <c r="C2312" i="58"/>
  <c r="C2311" i="58"/>
  <c r="C2310" i="58"/>
  <c r="C2309" i="58"/>
  <c r="C2308" i="58"/>
  <c r="C2307" i="58"/>
  <c r="C2306" i="58"/>
  <c r="C2305" i="58"/>
  <c r="C2304" i="58"/>
  <c r="C2303" i="58"/>
  <c r="C2302" i="58"/>
  <c r="C2301" i="58"/>
  <c r="C2300" i="58"/>
  <c r="C2299" i="58"/>
  <c r="C2298" i="58"/>
  <c r="C2297" i="58"/>
  <c r="C2296" i="58"/>
  <c r="C2295" i="58"/>
  <c r="C2294" i="58"/>
  <c r="C2293" i="58"/>
  <c r="C2292" i="58"/>
  <c r="C2291" i="58"/>
  <c r="C2290" i="58"/>
  <c r="C2289" i="58"/>
  <c r="C2288" i="58"/>
  <c r="C2287" i="58"/>
  <c r="C2286" i="58"/>
  <c r="C2285" i="58"/>
  <c r="C2284" i="58"/>
  <c r="C2283" i="58"/>
  <c r="C2282" i="58"/>
  <c r="C2281" i="58"/>
  <c r="C2280" i="58"/>
  <c r="C2279" i="58"/>
  <c r="C2278" i="58"/>
  <c r="C2277" i="58"/>
  <c r="C2276" i="58"/>
  <c r="C2275" i="58"/>
  <c r="C2274" i="58"/>
  <c r="C2273" i="58"/>
  <c r="C2272" i="58"/>
  <c r="C2271" i="58"/>
  <c r="C2270" i="58"/>
  <c r="C2269" i="58"/>
  <c r="C2268" i="58"/>
  <c r="C2267" i="58"/>
  <c r="C2266" i="58"/>
  <c r="C2265" i="58"/>
  <c r="C2264" i="58"/>
  <c r="C2263" i="58"/>
  <c r="C2262" i="58"/>
  <c r="C2261" i="58"/>
  <c r="C2260" i="58"/>
  <c r="C2259" i="58"/>
  <c r="C2258" i="58"/>
  <c r="C2257" i="58"/>
  <c r="C2256" i="58"/>
  <c r="C2255" i="58"/>
  <c r="C2254" i="58"/>
  <c r="C2253" i="58"/>
  <c r="C2252" i="58"/>
  <c r="C2251" i="58"/>
  <c r="C2250" i="58"/>
  <c r="C2249" i="58"/>
  <c r="C2248" i="58"/>
  <c r="C2247" i="58"/>
  <c r="C2246" i="58"/>
  <c r="C2245" i="58"/>
  <c r="C2244" i="58"/>
  <c r="C2243" i="58"/>
  <c r="C2242" i="58"/>
  <c r="C2241" i="58"/>
  <c r="C2240" i="58"/>
  <c r="C2239" i="58"/>
  <c r="C2238" i="58"/>
  <c r="C2237" i="58"/>
  <c r="C2236" i="58"/>
  <c r="C2235" i="58"/>
  <c r="C2234" i="58"/>
  <c r="C2233" i="58"/>
  <c r="C2232" i="58"/>
  <c r="C2231" i="58"/>
  <c r="C2230" i="58"/>
  <c r="C2229" i="58"/>
  <c r="C2228" i="58"/>
  <c r="C2227" i="58"/>
  <c r="C2226" i="58"/>
  <c r="C2225" i="58"/>
  <c r="C2224" i="58"/>
  <c r="C2223" i="58"/>
  <c r="C2222" i="58"/>
  <c r="C2221" i="58"/>
  <c r="C2220" i="58"/>
  <c r="C2219" i="58"/>
  <c r="C2218" i="58"/>
  <c r="C2217" i="58"/>
  <c r="C2216" i="58"/>
  <c r="C2215" i="58"/>
  <c r="C2214" i="58"/>
  <c r="C2213" i="58"/>
  <c r="C2212" i="58"/>
  <c r="C2211" i="58"/>
  <c r="C2210" i="58"/>
  <c r="C2209" i="58"/>
  <c r="C2208" i="58"/>
  <c r="C2207" i="58"/>
  <c r="C2206" i="58"/>
  <c r="C2205" i="58"/>
  <c r="C2204" i="58"/>
  <c r="C2203" i="58"/>
  <c r="C2202" i="58"/>
  <c r="C2201" i="58"/>
  <c r="C2200" i="58"/>
  <c r="C2199" i="58"/>
  <c r="C2198" i="58"/>
  <c r="C2197" i="58"/>
  <c r="C2196" i="58"/>
  <c r="C2195" i="58"/>
  <c r="C2194" i="58"/>
  <c r="C2193" i="58"/>
  <c r="C2192" i="58"/>
  <c r="C2191" i="58"/>
  <c r="C2190" i="58"/>
  <c r="C2189" i="58"/>
  <c r="C2188" i="58"/>
  <c r="C2187" i="58"/>
  <c r="C2186" i="58"/>
  <c r="C2185" i="58"/>
  <c r="C2184" i="58"/>
  <c r="C2183" i="58"/>
  <c r="C2182" i="58"/>
  <c r="C2181" i="58"/>
  <c r="C2180" i="58"/>
  <c r="C2179" i="58"/>
  <c r="C2178" i="58"/>
  <c r="C2177" i="58"/>
  <c r="C2176" i="58"/>
  <c r="C2175" i="58"/>
  <c r="C2174" i="58"/>
  <c r="C2173" i="58"/>
  <c r="C2172" i="58"/>
  <c r="C2171" i="58"/>
  <c r="C2170" i="58"/>
  <c r="C2169" i="58"/>
  <c r="C2168" i="58"/>
  <c r="C2167" i="58"/>
  <c r="C2166" i="58"/>
  <c r="C2165" i="58"/>
  <c r="C2164" i="58"/>
  <c r="C2163" i="58"/>
  <c r="C2162" i="58"/>
  <c r="C2161" i="58"/>
  <c r="C2160" i="58"/>
  <c r="C2159" i="58"/>
  <c r="C2158" i="58"/>
  <c r="C2157" i="58"/>
  <c r="C2156" i="58"/>
  <c r="C2155" i="58"/>
  <c r="C2154" i="58"/>
  <c r="C2153" i="58"/>
  <c r="C2152" i="58"/>
  <c r="C2151" i="58"/>
  <c r="C2150" i="58"/>
  <c r="C2149" i="58"/>
  <c r="C2148" i="58"/>
  <c r="C2147" i="58"/>
  <c r="C2146" i="58"/>
  <c r="C2145" i="58"/>
  <c r="C2144" i="58"/>
  <c r="C2143" i="58"/>
  <c r="C2142" i="58"/>
  <c r="C2141" i="58"/>
  <c r="C2140" i="58"/>
  <c r="C2139" i="58"/>
  <c r="C2138" i="58"/>
  <c r="C2137" i="58"/>
  <c r="C2136" i="58"/>
  <c r="C2135" i="58"/>
  <c r="C2134" i="58"/>
  <c r="C2133" i="58"/>
  <c r="C2132" i="58"/>
  <c r="C2131" i="58"/>
  <c r="C2130" i="58"/>
  <c r="C2129" i="58"/>
  <c r="C2128" i="58"/>
  <c r="C2127" i="58"/>
  <c r="C2126" i="58"/>
  <c r="C2125" i="58"/>
  <c r="C2124" i="58"/>
  <c r="C2123" i="58"/>
  <c r="C2122" i="58"/>
  <c r="C2121" i="58"/>
  <c r="C2120" i="58"/>
  <c r="C2119" i="58"/>
  <c r="C2118" i="58"/>
  <c r="C2117" i="58"/>
  <c r="C2116" i="58"/>
  <c r="C2115" i="58"/>
  <c r="C2114" i="58"/>
  <c r="C2113" i="58"/>
  <c r="C2112" i="58"/>
  <c r="C2111" i="58"/>
  <c r="C2110" i="58"/>
  <c r="C2109" i="58"/>
  <c r="C2108" i="58"/>
  <c r="C2107" i="58"/>
  <c r="C2106" i="58"/>
  <c r="C2105" i="58"/>
  <c r="C2104" i="58"/>
  <c r="C2103" i="58"/>
  <c r="C2102" i="58"/>
  <c r="C2101" i="58"/>
  <c r="C2100" i="58"/>
  <c r="C2099" i="58"/>
  <c r="C2098" i="58"/>
  <c r="C2097" i="58"/>
  <c r="C2096" i="58"/>
  <c r="C2095" i="58"/>
  <c r="C2094" i="58"/>
  <c r="C2093" i="58"/>
  <c r="C2092" i="58"/>
  <c r="C2091" i="58"/>
  <c r="C2090" i="58"/>
  <c r="C2089" i="58"/>
  <c r="C2088" i="58"/>
  <c r="C2087" i="58"/>
  <c r="C2086" i="58"/>
  <c r="C2085" i="58"/>
  <c r="C2084" i="58"/>
  <c r="C2083" i="58"/>
  <c r="C2082" i="58"/>
  <c r="C2081" i="58"/>
  <c r="C2080" i="58"/>
  <c r="C2079" i="58"/>
  <c r="C2078" i="58"/>
  <c r="C2077" i="58"/>
  <c r="C2076" i="58"/>
  <c r="C2075" i="58"/>
  <c r="C2074" i="58"/>
  <c r="C2073" i="58"/>
  <c r="C2072" i="58"/>
  <c r="C2071" i="58"/>
  <c r="C2070" i="58"/>
  <c r="C2069" i="58"/>
  <c r="C2068" i="58"/>
  <c r="C2067" i="58"/>
  <c r="C2066" i="58"/>
  <c r="C2065" i="58"/>
  <c r="C2064" i="58"/>
  <c r="C2063" i="58"/>
  <c r="C2062" i="58"/>
  <c r="C2061" i="58"/>
  <c r="C2060" i="58"/>
  <c r="C2059" i="58"/>
  <c r="C2058" i="58"/>
  <c r="C2057" i="58"/>
  <c r="C2056" i="58"/>
  <c r="C2055" i="58"/>
  <c r="C2054" i="58"/>
  <c r="C2053" i="58"/>
  <c r="C2052" i="58"/>
  <c r="C2051" i="58"/>
  <c r="C2050" i="58"/>
  <c r="C2049" i="58"/>
  <c r="C2048" i="58"/>
  <c r="C2047" i="58"/>
  <c r="C2046" i="58"/>
  <c r="C2045" i="58"/>
  <c r="C2044" i="58"/>
  <c r="C2043" i="58"/>
  <c r="C2042" i="58"/>
  <c r="C2041" i="58"/>
  <c r="C2040" i="58"/>
  <c r="C2039" i="58"/>
  <c r="C2038" i="58"/>
  <c r="C2037" i="58"/>
  <c r="C2036" i="58"/>
  <c r="C2035" i="58"/>
  <c r="C2034" i="58"/>
  <c r="C2033" i="58"/>
  <c r="C2032" i="58"/>
  <c r="C2031" i="58"/>
  <c r="C2030" i="58"/>
  <c r="C2029" i="58"/>
  <c r="C2028" i="58"/>
  <c r="C2027" i="58"/>
  <c r="C2026" i="58"/>
  <c r="C2025" i="58"/>
  <c r="C2024" i="58"/>
  <c r="C2023" i="58"/>
  <c r="C2022" i="58"/>
  <c r="C2021" i="58"/>
  <c r="C2020" i="58"/>
  <c r="C2019" i="58"/>
  <c r="C2018" i="58"/>
  <c r="C2017" i="58"/>
  <c r="C2016" i="58"/>
  <c r="C2015" i="58"/>
  <c r="C2014" i="58"/>
  <c r="C2013" i="58"/>
  <c r="C2012" i="58"/>
  <c r="C2011" i="58"/>
  <c r="C2010" i="58"/>
  <c r="C2009" i="58"/>
  <c r="C2008" i="58"/>
  <c r="C2007" i="58"/>
  <c r="C2006" i="58"/>
  <c r="C2005" i="58"/>
  <c r="C2004" i="58"/>
  <c r="C2003" i="58"/>
  <c r="C2002" i="58"/>
  <c r="C2001" i="58"/>
  <c r="C2000" i="58"/>
  <c r="C1999" i="58"/>
  <c r="C1998" i="58"/>
  <c r="C1997" i="58"/>
  <c r="C1996" i="58"/>
  <c r="C1995" i="58"/>
  <c r="C1994" i="58"/>
  <c r="C1993" i="58"/>
  <c r="C1992" i="58"/>
  <c r="C1991" i="58"/>
  <c r="C1990" i="58"/>
  <c r="C1989" i="58"/>
  <c r="C1988" i="58"/>
  <c r="C1987" i="58"/>
  <c r="C1986" i="58"/>
  <c r="C1985" i="58"/>
  <c r="C1984" i="58"/>
  <c r="C1983" i="58"/>
  <c r="C1982" i="58"/>
  <c r="C1981" i="58"/>
  <c r="C1980" i="58"/>
  <c r="C1979" i="58"/>
  <c r="C1978" i="58"/>
  <c r="C1977" i="58"/>
  <c r="C1976" i="58"/>
  <c r="C1975" i="58"/>
  <c r="C1974" i="58"/>
  <c r="C1973" i="58"/>
  <c r="C1972" i="58"/>
  <c r="C1971" i="58"/>
  <c r="C1970" i="58"/>
  <c r="C1969" i="58"/>
  <c r="C1968" i="58"/>
  <c r="C1967" i="58"/>
  <c r="C1966" i="58"/>
  <c r="C1965" i="58"/>
  <c r="C1964" i="58"/>
  <c r="C1963" i="58"/>
  <c r="C1962" i="58"/>
  <c r="C1961" i="58"/>
  <c r="C1960" i="58"/>
  <c r="C1959" i="58"/>
  <c r="C1958" i="58"/>
  <c r="C1957" i="58"/>
  <c r="C1956" i="58"/>
  <c r="C1955" i="58"/>
  <c r="C1954" i="58"/>
  <c r="C1953" i="58"/>
  <c r="C1952" i="58"/>
  <c r="C1951" i="58"/>
  <c r="C1950" i="58"/>
  <c r="C1949" i="58"/>
  <c r="C1948" i="58"/>
  <c r="C1947" i="58"/>
  <c r="C1946" i="58"/>
  <c r="C1945" i="58"/>
  <c r="C1944" i="58"/>
  <c r="C1943" i="58"/>
  <c r="C1942" i="58"/>
  <c r="C1941" i="58"/>
  <c r="C1940" i="58"/>
  <c r="C1939" i="58"/>
  <c r="C1938" i="58"/>
  <c r="C1937" i="58"/>
  <c r="C1936" i="58"/>
  <c r="C1935" i="58"/>
  <c r="C1934" i="58"/>
  <c r="C1933" i="58"/>
  <c r="C1932" i="58"/>
  <c r="C1931" i="58"/>
  <c r="C1930" i="58"/>
  <c r="C1929" i="58"/>
  <c r="C1928" i="58"/>
  <c r="C1927" i="58"/>
  <c r="C1926" i="58"/>
  <c r="C1925" i="58"/>
  <c r="C1924" i="58"/>
  <c r="C1923" i="58"/>
  <c r="C1922" i="58"/>
  <c r="C1921" i="58"/>
  <c r="C1920" i="58"/>
  <c r="C1919" i="58"/>
  <c r="C1918" i="58"/>
  <c r="C1917" i="58"/>
  <c r="C1916" i="58"/>
  <c r="C1915" i="58"/>
  <c r="C1914" i="58"/>
  <c r="C1913" i="58"/>
  <c r="C1912" i="58"/>
  <c r="C1911" i="58"/>
  <c r="C1910" i="58"/>
  <c r="C1909" i="58"/>
  <c r="C1908" i="58"/>
  <c r="C1907" i="58"/>
  <c r="C1906" i="58"/>
  <c r="C1905" i="58"/>
  <c r="C1904" i="58"/>
  <c r="C1903" i="58"/>
  <c r="C1902" i="58"/>
  <c r="C1901" i="58"/>
  <c r="C1900" i="58"/>
  <c r="C1899" i="58"/>
  <c r="C1898" i="58"/>
  <c r="C1897" i="58"/>
  <c r="C1896" i="58"/>
  <c r="C1895" i="58"/>
  <c r="C1894" i="58"/>
  <c r="C1893" i="58"/>
  <c r="C1892" i="58"/>
  <c r="C1891" i="58"/>
  <c r="C1890" i="58"/>
  <c r="C1889" i="58"/>
  <c r="C1888" i="58"/>
  <c r="C1887" i="58"/>
  <c r="C1886" i="58"/>
  <c r="C1885" i="58"/>
  <c r="C1884" i="58"/>
  <c r="C1883" i="58"/>
  <c r="C1882" i="58"/>
  <c r="C1881" i="58"/>
  <c r="C1880" i="58"/>
  <c r="C1879" i="58"/>
  <c r="C1878" i="58"/>
  <c r="C1877" i="58"/>
  <c r="C1876" i="58"/>
  <c r="C1875" i="58"/>
  <c r="C1874" i="58"/>
  <c r="C1873" i="58"/>
  <c r="C1872" i="58"/>
  <c r="C1871" i="58"/>
  <c r="C1870" i="58"/>
  <c r="C1869" i="58"/>
  <c r="C1868" i="58"/>
  <c r="C1867" i="58"/>
  <c r="C1866" i="58"/>
  <c r="C1865" i="58"/>
  <c r="C1864" i="58"/>
  <c r="C1863" i="58"/>
  <c r="C1862" i="58"/>
  <c r="C1861" i="58"/>
  <c r="C1860" i="58"/>
  <c r="C1859" i="58"/>
  <c r="C1858" i="58"/>
  <c r="C1857" i="58"/>
  <c r="C1856" i="58"/>
  <c r="C1855" i="58"/>
  <c r="C1854" i="58"/>
  <c r="C1853" i="58"/>
  <c r="C1852" i="58"/>
  <c r="C1851" i="58"/>
  <c r="C1850" i="58"/>
  <c r="C1849" i="58"/>
  <c r="C1848" i="58"/>
  <c r="C1847" i="58"/>
  <c r="C1846" i="58"/>
  <c r="C1845" i="58"/>
  <c r="C1844" i="58"/>
  <c r="C1843" i="58"/>
  <c r="C1842" i="58"/>
  <c r="C1841" i="58"/>
  <c r="C1840" i="58"/>
  <c r="C1839" i="58"/>
  <c r="C1838" i="58"/>
  <c r="C1837" i="58"/>
  <c r="C1836" i="58"/>
  <c r="C1835" i="58"/>
  <c r="C1834" i="58"/>
  <c r="C1833" i="58"/>
  <c r="C1832" i="58"/>
  <c r="C1831" i="58"/>
  <c r="C1830" i="58"/>
  <c r="C1829" i="58"/>
  <c r="C1828" i="58"/>
  <c r="C1827" i="58"/>
  <c r="C1826" i="58"/>
  <c r="C1825" i="58"/>
  <c r="C1824" i="58"/>
  <c r="C1823" i="58"/>
  <c r="C1822" i="58"/>
  <c r="C1821" i="58"/>
  <c r="C1820" i="58"/>
  <c r="C1819" i="58"/>
  <c r="C1818" i="58"/>
  <c r="C1817" i="58"/>
  <c r="C1816" i="58"/>
  <c r="C1815" i="58"/>
  <c r="C1814" i="58"/>
  <c r="C1813" i="58"/>
  <c r="C1812" i="58"/>
  <c r="C1811" i="58"/>
  <c r="C1810" i="58"/>
  <c r="C1809" i="58"/>
  <c r="C1808" i="58"/>
  <c r="C1807" i="58"/>
  <c r="C1806" i="58"/>
  <c r="C1805" i="58"/>
  <c r="C1804" i="58"/>
  <c r="C1803" i="58"/>
  <c r="C1802" i="58"/>
  <c r="C1801" i="58"/>
  <c r="C1800" i="58"/>
  <c r="C1799" i="58"/>
  <c r="C1798" i="58"/>
  <c r="C1797" i="58"/>
  <c r="C1796" i="58"/>
  <c r="C1795" i="58"/>
  <c r="C1794" i="58"/>
  <c r="C1793" i="58"/>
  <c r="C1792" i="58"/>
  <c r="C1791" i="58"/>
  <c r="C1790" i="58"/>
  <c r="C1789" i="58"/>
  <c r="C1788" i="58"/>
  <c r="C1787" i="58"/>
  <c r="C1786" i="58"/>
  <c r="C1785" i="58"/>
  <c r="C1784" i="58"/>
  <c r="C1783" i="58"/>
  <c r="C1782" i="58"/>
  <c r="C1781" i="58"/>
  <c r="C1780" i="58"/>
  <c r="C1779" i="58"/>
  <c r="C1778" i="58"/>
  <c r="C1777" i="58"/>
  <c r="C1776" i="58"/>
  <c r="C1775" i="58"/>
  <c r="C1774" i="58"/>
  <c r="C1773" i="58"/>
  <c r="C1772" i="58"/>
  <c r="C1771" i="58"/>
  <c r="C1770" i="58"/>
  <c r="C1769" i="58"/>
  <c r="C1768" i="58"/>
  <c r="C1767" i="58"/>
  <c r="C1766" i="58"/>
  <c r="C1765" i="58"/>
  <c r="C1764" i="58"/>
  <c r="C1763" i="58"/>
  <c r="C1762" i="58"/>
  <c r="C1761" i="58"/>
  <c r="C1760" i="58"/>
  <c r="C1759" i="58"/>
  <c r="C1758" i="58"/>
  <c r="C1757" i="58"/>
  <c r="C1756" i="58"/>
  <c r="C1755" i="58"/>
  <c r="C1754" i="58"/>
  <c r="C1753" i="58"/>
  <c r="C1752" i="58"/>
  <c r="C1751" i="58"/>
  <c r="C1750" i="58"/>
  <c r="C1749" i="58"/>
  <c r="C1748" i="58"/>
  <c r="C1747" i="58"/>
  <c r="C1746" i="58"/>
  <c r="C1745" i="58"/>
  <c r="C1744" i="58"/>
  <c r="C1743" i="58"/>
  <c r="C1742" i="58"/>
  <c r="C1741" i="58"/>
  <c r="C1740" i="58"/>
  <c r="C1739" i="58"/>
  <c r="C1738" i="58"/>
  <c r="C1737" i="58"/>
  <c r="C1736" i="58"/>
  <c r="C1735" i="58"/>
  <c r="C1734" i="58"/>
  <c r="C1733" i="58"/>
  <c r="C1732" i="58"/>
  <c r="C1731" i="58"/>
  <c r="C1730" i="58"/>
  <c r="C1729" i="58"/>
  <c r="C1728" i="58"/>
  <c r="C1727" i="58"/>
  <c r="C1726" i="58"/>
  <c r="C1725" i="58"/>
  <c r="C1724" i="58"/>
  <c r="C1723" i="58"/>
  <c r="C1722" i="58"/>
  <c r="C1721" i="58"/>
  <c r="C1720" i="58"/>
  <c r="C1719" i="58"/>
  <c r="C1718" i="58"/>
  <c r="C1717" i="58"/>
  <c r="C1716" i="58"/>
  <c r="C1715" i="58"/>
  <c r="C1714" i="58"/>
  <c r="C1713" i="58"/>
  <c r="C1712" i="58"/>
  <c r="C1711" i="58"/>
  <c r="C1710" i="58"/>
  <c r="C1709" i="58"/>
  <c r="C1708" i="58"/>
  <c r="C1707" i="58"/>
  <c r="C1706" i="58"/>
  <c r="C1705" i="58"/>
  <c r="C1704" i="58"/>
  <c r="C1703" i="58"/>
  <c r="C1702" i="58"/>
  <c r="C1701" i="58"/>
  <c r="C1700" i="58"/>
  <c r="C1699" i="58"/>
  <c r="C1698" i="58"/>
  <c r="C1697" i="58"/>
  <c r="C1696" i="58"/>
  <c r="C1695" i="58"/>
  <c r="C1694" i="58"/>
  <c r="C1693" i="58"/>
  <c r="C1692" i="58"/>
  <c r="C1691" i="58"/>
  <c r="C1690" i="58"/>
  <c r="C1689" i="58"/>
  <c r="C1688" i="58"/>
  <c r="C1687" i="58"/>
  <c r="C1686" i="58"/>
  <c r="C1685" i="58"/>
  <c r="C1684" i="58"/>
  <c r="C1683" i="58"/>
  <c r="C1682" i="58"/>
  <c r="C1681" i="58"/>
  <c r="C1680" i="58"/>
  <c r="C1679" i="58"/>
  <c r="C1678" i="58"/>
  <c r="C1677" i="58"/>
  <c r="C1676" i="58"/>
  <c r="C1675" i="58"/>
  <c r="C1674" i="58"/>
  <c r="C1673" i="58"/>
  <c r="C1672" i="58"/>
  <c r="C1671" i="58"/>
  <c r="C1670" i="58"/>
  <c r="C1669" i="58"/>
  <c r="C1668" i="58"/>
  <c r="C1667" i="58"/>
  <c r="C1666" i="58"/>
  <c r="C1665" i="58"/>
  <c r="C1664" i="58"/>
  <c r="C1663" i="58"/>
  <c r="C1662" i="58"/>
  <c r="C1661" i="58"/>
  <c r="C1660" i="58"/>
  <c r="C1659" i="58"/>
  <c r="C1658" i="58"/>
  <c r="C1657" i="58"/>
  <c r="C1656" i="58"/>
  <c r="C1655" i="58"/>
  <c r="C1654" i="58"/>
  <c r="C1653" i="58"/>
  <c r="C1652" i="58"/>
  <c r="C1651" i="58"/>
  <c r="C1650" i="58"/>
  <c r="C1649" i="58"/>
  <c r="C1648" i="58"/>
  <c r="C1647" i="58"/>
  <c r="C1646" i="58"/>
  <c r="C1645" i="58"/>
  <c r="C1644" i="58"/>
  <c r="C1643" i="58"/>
  <c r="C1642" i="58"/>
  <c r="C1641" i="58"/>
  <c r="C1640" i="58"/>
  <c r="C1639" i="58"/>
  <c r="C1638" i="58"/>
  <c r="C1637" i="58"/>
  <c r="C1636" i="58"/>
  <c r="C1635" i="58"/>
  <c r="C1634" i="58"/>
  <c r="C1633" i="58"/>
  <c r="C1632" i="58"/>
  <c r="C1631" i="58"/>
  <c r="C1630" i="58"/>
  <c r="C1629" i="58"/>
  <c r="C1628" i="58"/>
  <c r="C1627" i="58"/>
  <c r="C1626" i="58"/>
  <c r="C1625" i="58"/>
  <c r="C1624" i="58"/>
  <c r="C1623" i="58"/>
  <c r="C1622" i="58"/>
  <c r="C1621" i="58"/>
  <c r="C1620" i="58"/>
  <c r="C1619" i="58"/>
  <c r="C1618" i="58"/>
  <c r="C1617" i="58"/>
  <c r="C1616" i="58"/>
  <c r="C1615" i="58"/>
  <c r="C1614" i="58"/>
  <c r="C1613" i="58"/>
  <c r="C1612" i="58"/>
  <c r="C1611" i="58"/>
  <c r="C1610" i="58"/>
  <c r="C1609" i="58"/>
  <c r="C1608" i="58"/>
  <c r="C1607" i="58"/>
  <c r="C1606" i="58"/>
  <c r="C1605" i="58"/>
  <c r="C1604" i="58"/>
  <c r="C1603" i="58"/>
  <c r="C1602" i="58"/>
  <c r="C1601" i="58"/>
  <c r="C1600" i="58"/>
  <c r="C1599" i="58"/>
  <c r="C1598" i="58"/>
  <c r="C1597" i="58"/>
  <c r="C1596" i="58"/>
  <c r="C1595" i="58"/>
  <c r="C1594" i="58"/>
  <c r="C1593" i="58"/>
  <c r="C1592" i="58"/>
  <c r="C1591" i="58"/>
  <c r="C1590" i="58"/>
  <c r="C1589" i="58"/>
  <c r="C1588" i="58"/>
  <c r="C1587" i="58"/>
  <c r="C1586" i="58"/>
  <c r="C1585" i="58"/>
  <c r="C1584" i="58"/>
  <c r="C1583" i="58"/>
  <c r="C1582" i="58"/>
  <c r="C1581" i="58"/>
  <c r="C1580" i="58"/>
  <c r="C1579" i="58"/>
  <c r="C1578" i="58"/>
  <c r="C1577" i="58"/>
  <c r="C1576" i="58"/>
  <c r="C1575" i="58"/>
  <c r="C1574" i="58"/>
  <c r="C1573" i="58"/>
  <c r="C1572" i="58"/>
  <c r="C1571" i="58"/>
  <c r="C1570" i="58"/>
  <c r="C1569" i="58"/>
  <c r="C1568" i="58"/>
  <c r="C1567" i="58"/>
  <c r="C1566" i="58"/>
  <c r="C1565" i="58"/>
  <c r="C1564" i="58"/>
  <c r="C1563" i="58"/>
  <c r="C1562" i="58"/>
  <c r="C1561" i="58"/>
  <c r="C1560" i="58"/>
  <c r="C1559" i="58"/>
  <c r="C1558" i="58"/>
  <c r="C1557" i="58"/>
  <c r="C1556" i="58"/>
  <c r="C1555" i="58"/>
  <c r="C1554" i="58"/>
  <c r="C1553" i="58"/>
  <c r="C1552" i="58"/>
  <c r="C1551" i="58"/>
  <c r="C1550" i="58"/>
  <c r="C1549" i="58"/>
  <c r="C1548" i="58"/>
  <c r="C1547" i="58"/>
  <c r="C1546" i="58"/>
  <c r="C1545" i="58"/>
  <c r="C1544" i="58"/>
  <c r="C1543" i="58"/>
  <c r="C1542" i="58"/>
  <c r="C1541" i="58"/>
  <c r="C1540" i="58"/>
  <c r="C1539" i="58"/>
  <c r="C1538" i="58"/>
  <c r="C1537" i="58"/>
  <c r="C1536" i="58"/>
  <c r="C1535" i="58"/>
  <c r="C1534" i="58"/>
  <c r="C1533" i="58"/>
  <c r="C1532" i="58"/>
  <c r="C1531" i="58"/>
  <c r="C1530" i="58"/>
  <c r="C1529" i="58"/>
  <c r="C1528" i="58"/>
  <c r="C1527" i="58"/>
  <c r="C1526" i="58"/>
  <c r="C1525" i="58"/>
  <c r="C1524" i="58"/>
  <c r="C1523" i="58"/>
  <c r="C1522" i="58"/>
  <c r="C1521" i="58"/>
  <c r="C1520" i="58"/>
  <c r="C1519" i="58"/>
  <c r="C1518" i="58"/>
  <c r="C1517" i="58"/>
  <c r="C1516" i="58"/>
  <c r="C1515" i="58"/>
  <c r="C1514" i="58"/>
  <c r="C1513" i="58"/>
  <c r="C1512" i="58"/>
  <c r="C1511" i="58"/>
  <c r="C1510" i="58"/>
  <c r="C1509" i="58"/>
  <c r="C1508" i="58"/>
  <c r="C1507" i="58"/>
  <c r="C1506" i="58"/>
  <c r="C1505" i="58"/>
  <c r="C1504" i="58"/>
  <c r="C1503" i="58"/>
  <c r="C1502" i="58"/>
  <c r="C1501" i="58"/>
  <c r="C1500" i="58"/>
  <c r="C1499" i="58"/>
  <c r="C1498" i="58"/>
  <c r="C1497" i="58"/>
  <c r="C1496" i="58"/>
  <c r="C1495" i="58"/>
  <c r="C1494" i="58"/>
  <c r="C1493" i="58"/>
  <c r="C1492" i="58"/>
  <c r="C1491" i="58"/>
  <c r="C1490" i="58"/>
  <c r="C1489" i="58"/>
  <c r="C1488" i="58"/>
  <c r="C1487" i="58"/>
  <c r="C1486" i="58"/>
  <c r="C1485" i="58"/>
  <c r="C1484" i="58"/>
  <c r="C1483" i="58"/>
  <c r="C1482" i="58"/>
  <c r="C1481" i="58"/>
  <c r="C1480" i="58"/>
  <c r="C1479" i="58"/>
  <c r="C1478" i="58"/>
  <c r="C1477" i="58"/>
  <c r="C1476" i="58"/>
  <c r="C1475" i="58"/>
  <c r="C1474" i="58"/>
  <c r="C1473" i="58"/>
  <c r="C1472" i="58"/>
  <c r="C1471" i="58"/>
  <c r="C1470" i="58"/>
  <c r="C1469" i="58"/>
  <c r="C1468" i="58"/>
  <c r="C1467" i="58"/>
  <c r="C1466" i="58"/>
  <c r="C1465" i="58"/>
  <c r="C1464" i="58"/>
  <c r="C1463" i="58"/>
  <c r="C1462" i="58"/>
  <c r="C1461" i="58"/>
  <c r="C1460" i="58"/>
  <c r="C1459" i="58"/>
  <c r="C1458" i="58"/>
  <c r="C1457" i="58"/>
  <c r="C1456" i="58"/>
  <c r="C1455" i="58"/>
  <c r="C1454" i="58"/>
  <c r="C1453" i="58"/>
  <c r="C1452" i="58"/>
  <c r="C1451" i="58"/>
  <c r="C1450" i="58"/>
  <c r="C1449" i="58"/>
  <c r="C1448" i="58"/>
  <c r="C1447" i="58"/>
  <c r="C1446" i="58"/>
  <c r="C1445" i="58"/>
  <c r="C1444" i="58"/>
  <c r="C1443" i="58"/>
  <c r="C1442" i="58"/>
  <c r="C1441" i="58"/>
  <c r="C1440" i="58"/>
  <c r="C1439" i="58"/>
  <c r="C1438" i="58"/>
  <c r="C1437" i="58"/>
  <c r="C1436" i="58"/>
  <c r="C1435" i="58"/>
  <c r="C1434" i="58"/>
  <c r="C1433" i="58"/>
  <c r="C1432" i="58"/>
  <c r="C1431" i="58"/>
  <c r="C1430" i="58"/>
  <c r="C1429" i="58"/>
  <c r="C1428" i="58"/>
  <c r="C1427" i="58"/>
  <c r="C1426" i="58"/>
  <c r="C1425" i="58"/>
  <c r="C1424" i="58"/>
  <c r="C1423" i="58"/>
  <c r="C1422" i="58"/>
  <c r="C1421" i="58"/>
  <c r="C1420" i="58"/>
  <c r="C1419" i="58"/>
  <c r="C1418" i="58"/>
  <c r="C1417" i="58"/>
  <c r="C1416" i="58"/>
  <c r="C1415" i="58"/>
  <c r="C1414" i="58"/>
  <c r="C1413" i="58"/>
  <c r="C1412" i="58"/>
  <c r="C1411" i="58"/>
  <c r="C1410" i="58"/>
  <c r="C1409" i="58"/>
  <c r="C1408" i="58"/>
  <c r="C1407" i="58"/>
  <c r="C1406" i="58"/>
  <c r="C1405" i="58"/>
  <c r="C1404" i="58"/>
  <c r="C1403" i="58"/>
  <c r="C1402" i="58"/>
  <c r="C1401" i="58"/>
  <c r="C1400" i="58"/>
  <c r="C1399" i="58"/>
  <c r="C1398" i="58"/>
  <c r="C1397" i="58"/>
  <c r="C1396" i="58"/>
  <c r="C1395" i="58"/>
  <c r="C1394" i="58"/>
  <c r="C1393" i="58"/>
  <c r="C1392" i="58"/>
  <c r="C1391" i="58"/>
  <c r="C1390" i="58"/>
  <c r="C1389" i="58"/>
  <c r="C1388" i="58"/>
  <c r="C1387" i="58"/>
  <c r="C1386" i="58"/>
  <c r="C1385" i="58"/>
  <c r="C1384" i="58"/>
  <c r="C1383" i="58"/>
  <c r="C1382" i="58"/>
  <c r="C1381" i="58"/>
  <c r="C1380" i="58"/>
  <c r="C1379" i="58"/>
  <c r="C1378" i="58"/>
  <c r="C1377" i="58"/>
  <c r="C1376" i="58"/>
  <c r="C1375" i="58"/>
  <c r="C1374" i="58"/>
  <c r="C1373" i="58"/>
  <c r="C1372" i="58"/>
  <c r="C1371" i="58"/>
  <c r="C1370" i="58"/>
  <c r="C1369" i="58"/>
  <c r="C1368" i="58"/>
  <c r="C1367" i="58"/>
  <c r="C1366" i="58"/>
  <c r="C1365" i="58"/>
  <c r="C1364" i="58"/>
  <c r="C1363" i="58"/>
  <c r="C1362" i="58"/>
  <c r="C1361" i="58"/>
  <c r="C1360" i="58"/>
  <c r="C1359" i="58"/>
  <c r="C1358" i="58"/>
  <c r="C1357" i="58"/>
  <c r="C1356" i="58"/>
  <c r="C1355" i="58"/>
  <c r="C1354" i="58"/>
  <c r="C1353" i="58"/>
  <c r="C1352" i="58"/>
  <c r="C1351" i="58"/>
  <c r="C1350" i="58"/>
  <c r="C1349" i="58"/>
  <c r="C1348" i="58"/>
  <c r="C1347" i="58"/>
  <c r="C1346" i="58"/>
  <c r="C1345" i="58"/>
  <c r="C1344" i="58"/>
  <c r="C1343" i="58"/>
  <c r="C1342" i="58"/>
  <c r="C1341" i="58"/>
  <c r="C1340" i="58"/>
  <c r="C1339" i="58"/>
  <c r="C1338" i="58"/>
  <c r="C1337" i="58"/>
  <c r="C1336" i="58"/>
  <c r="C1335" i="58"/>
  <c r="C1334" i="58"/>
  <c r="C1333" i="58"/>
  <c r="C1332" i="58"/>
  <c r="C1331" i="58"/>
  <c r="C1330" i="58"/>
  <c r="C1329" i="58"/>
  <c r="C1328" i="58"/>
  <c r="C1327" i="58"/>
  <c r="C1326" i="58"/>
  <c r="C1325" i="58"/>
  <c r="C1324" i="58"/>
  <c r="C1323" i="58"/>
  <c r="C1322" i="58"/>
  <c r="C1321" i="58"/>
  <c r="C1320" i="58"/>
  <c r="C1319" i="58"/>
  <c r="C1318" i="58"/>
  <c r="C1317" i="58"/>
  <c r="C1316" i="58"/>
  <c r="C1315" i="58"/>
  <c r="C1314" i="58"/>
  <c r="C1313" i="58"/>
  <c r="C1312" i="58"/>
  <c r="C1311" i="58"/>
  <c r="C1310" i="58"/>
  <c r="C1309" i="58"/>
  <c r="C1308" i="58"/>
  <c r="C1307" i="58"/>
  <c r="C1306" i="58"/>
  <c r="C1305" i="58"/>
  <c r="C1304" i="58"/>
  <c r="C1303" i="58"/>
  <c r="C1302" i="58"/>
  <c r="C1301" i="58"/>
  <c r="C1300" i="58"/>
  <c r="C1299" i="58"/>
  <c r="C1298" i="58"/>
  <c r="C1297" i="58"/>
  <c r="C1296" i="58"/>
  <c r="C1295" i="58"/>
  <c r="C1294" i="58"/>
  <c r="C1293" i="58"/>
  <c r="C1292" i="58"/>
  <c r="C1291" i="58"/>
  <c r="C1290" i="58"/>
  <c r="C1289" i="58"/>
  <c r="C1288" i="58"/>
  <c r="C1287" i="58"/>
  <c r="C1286" i="58"/>
  <c r="C1285" i="58"/>
  <c r="C1284" i="58"/>
  <c r="C1283" i="58"/>
  <c r="C1282" i="58"/>
  <c r="C1281" i="58"/>
  <c r="C1280" i="58"/>
  <c r="C1279" i="58"/>
  <c r="C1278" i="58"/>
  <c r="C1277" i="58"/>
  <c r="C1276" i="58"/>
  <c r="C1275" i="58"/>
  <c r="C1274" i="58"/>
  <c r="C1273" i="58"/>
  <c r="C1272" i="58"/>
  <c r="C1271" i="58"/>
  <c r="C1270" i="58"/>
  <c r="C1269" i="58"/>
  <c r="C1268" i="58"/>
  <c r="C1267" i="58"/>
  <c r="C1266" i="58"/>
  <c r="C1265" i="58"/>
  <c r="C1264" i="58"/>
  <c r="C1263" i="58"/>
  <c r="C1262" i="58"/>
  <c r="C1261" i="58"/>
  <c r="C1260" i="58"/>
  <c r="C1259" i="58"/>
  <c r="C1258" i="58"/>
  <c r="C1257" i="58"/>
  <c r="C1256" i="58"/>
  <c r="C1255" i="58"/>
  <c r="C1254" i="58"/>
  <c r="C1253" i="58"/>
  <c r="C1252" i="58"/>
  <c r="C1251" i="58"/>
  <c r="C1250" i="58"/>
  <c r="C1249" i="58"/>
  <c r="C1248" i="58"/>
  <c r="C1247" i="58"/>
  <c r="C1246" i="58"/>
  <c r="C1245" i="58"/>
  <c r="C1244" i="58"/>
  <c r="C1243" i="58"/>
  <c r="C1242" i="58"/>
  <c r="C1241" i="58"/>
  <c r="C1240" i="58"/>
  <c r="C1239" i="58"/>
  <c r="C1238" i="58"/>
  <c r="C1237" i="58"/>
  <c r="C1236" i="58"/>
  <c r="C1235" i="58"/>
  <c r="C1234" i="58"/>
  <c r="C1233" i="58"/>
  <c r="C1232" i="58"/>
  <c r="C1231" i="58"/>
  <c r="C1230" i="58"/>
  <c r="C1229" i="58"/>
  <c r="C1228" i="58"/>
  <c r="C1227" i="58"/>
  <c r="C1226" i="58"/>
  <c r="C1225" i="58"/>
  <c r="C1224" i="58"/>
  <c r="C1223" i="58"/>
  <c r="C1222" i="58"/>
  <c r="C1221" i="58"/>
  <c r="C1220" i="58"/>
  <c r="C1219" i="58"/>
  <c r="C1218" i="58"/>
  <c r="C1217" i="58"/>
  <c r="C1216" i="58"/>
  <c r="C1215" i="58"/>
  <c r="C1214" i="58"/>
  <c r="C1213" i="58"/>
  <c r="C1212" i="58"/>
  <c r="C1211" i="58"/>
  <c r="C1210" i="58"/>
  <c r="C1209" i="58"/>
  <c r="C1208" i="58"/>
  <c r="C1207" i="58"/>
  <c r="C1206" i="58"/>
  <c r="C1205" i="58"/>
  <c r="C1204" i="58"/>
  <c r="C1203" i="58"/>
  <c r="C1202" i="58"/>
  <c r="C1201" i="58"/>
  <c r="C1200" i="58"/>
  <c r="C1199" i="58"/>
  <c r="C1198" i="58"/>
  <c r="C1197" i="58"/>
  <c r="C1196" i="58"/>
  <c r="C1195" i="58"/>
  <c r="C1194" i="58"/>
  <c r="C1193" i="58"/>
  <c r="C1192" i="58"/>
  <c r="C1191" i="58"/>
  <c r="C1190" i="58"/>
  <c r="C1189" i="58"/>
  <c r="C1188" i="58"/>
  <c r="C1187" i="58"/>
  <c r="C1186" i="58"/>
  <c r="C1185" i="58"/>
  <c r="C1184" i="58"/>
  <c r="C1183" i="58"/>
  <c r="C1182" i="58"/>
  <c r="C1181" i="58"/>
  <c r="C1180" i="58"/>
  <c r="C1179" i="58"/>
  <c r="C1178" i="58"/>
  <c r="C1177" i="58"/>
  <c r="C1176" i="58"/>
  <c r="C1175" i="58"/>
  <c r="C1174" i="58"/>
  <c r="C1173" i="58"/>
  <c r="C1172" i="58"/>
  <c r="C1171" i="58"/>
  <c r="C1170" i="58"/>
  <c r="C1169" i="58"/>
  <c r="C1168" i="58"/>
  <c r="C1167" i="58"/>
  <c r="C1166" i="58"/>
  <c r="C1165" i="58"/>
  <c r="C1164" i="58"/>
  <c r="C1163" i="58"/>
  <c r="C1162" i="58"/>
  <c r="C1161" i="58"/>
  <c r="C1160" i="58"/>
  <c r="C1159" i="58"/>
  <c r="C1158" i="58"/>
  <c r="C1157" i="58"/>
  <c r="C1156" i="58"/>
  <c r="C1155" i="58"/>
  <c r="C1154" i="58"/>
  <c r="C1153" i="58"/>
  <c r="C1152" i="58"/>
  <c r="C1151" i="58"/>
  <c r="C1150" i="58"/>
  <c r="C1149" i="58"/>
  <c r="C1148" i="58"/>
  <c r="C1147" i="58"/>
  <c r="C1146" i="58"/>
  <c r="C1145" i="58"/>
  <c r="C1144" i="58"/>
  <c r="C1143" i="58"/>
  <c r="C1142" i="58"/>
  <c r="C1141" i="58"/>
  <c r="C1140" i="58"/>
  <c r="C1139" i="58"/>
  <c r="C1138" i="58"/>
  <c r="C1137" i="58"/>
  <c r="C1136" i="58"/>
  <c r="C1135" i="58"/>
  <c r="C1134" i="58"/>
  <c r="C1133" i="58"/>
  <c r="C1132" i="58"/>
  <c r="C1131" i="58"/>
  <c r="C1130" i="58"/>
  <c r="C1129" i="58"/>
  <c r="C1128" i="58"/>
  <c r="C1127" i="58"/>
  <c r="C1126" i="58"/>
  <c r="C1125" i="58"/>
  <c r="C1124" i="58"/>
  <c r="C1123" i="58"/>
  <c r="C1122" i="58"/>
  <c r="C1121" i="58"/>
  <c r="C1120" i="58"/>
  <c r="C1119" i="58"/>
  <c r="C1118" i="58"/>
  <c r="C1117" i="58"/>
  <c r="C1116" i="58"/>
  <c r="C1115" i="58"/>
  <c r="C1114" i="58"/>
  <c r="C1113" i="58"/>
  <c r="C1112" i="58"/>
  <c r="C1111" i="58"/>
  <c r="C1110" i="58"/>
  <c r="C1109" i="58"/>
  <c r="C1108" i="58"/>
  <c r="C1107" i="58"/>
  <c r="C1106" i="58"/>
  <c r="C1105" i="58"/>
  <c r="C1104" i="58"/>
  <c r="C1103" i="58"/>
  <c r="C1102" i="58"/>
  <c r="C1101" i="58"/>
  <c r="C1100" i="58"/>
  <c r="C1099" i="58"/>
  <c r="C1098" i="58"/>
  <c r="C1097" i="58"/>
  <c r="C1096" i="58"/>
  <c r="C1095" i="58"/>
  <c r="C1094" i="58"/>
  <c r="C1093" i="58"/>
  <c r="C1092" i="58"/>
  <c r="C1091" i="58"/>
  <c r="C1090" i="58"/>
  <c r="C1089" i="58"/>
  <c r="C1088" i="58"/>
  <c r="C1087" i="58"/>
  <c r="C1086" i="58"/>
  <c r="C1085" i="58"/>
  <c r="C1084" i="58"/>
  <c r="C1083" i="58"/>
  <c r="C1082" i="58"/>
  <c r="C1081" i="58"/>
  <c r="C1080" i="58"/>
  <c r="C1079" i="58"/>
  <c r="C1078" i="58"/>
  <c r="C1077" i="58"/>
  <c r="C1076" i="58"/>
  <c r="C1075" i="58"/>
  <c r="C1074" i="58"/>
  <c r="C1073" i="58"/>
  <c r="C1072" i="58"/>
  <c r="C1071" i="58"/>
  <c r="C1070" i="58"/>
  <c r="C1069" i="58"/>
  <c r="C1068" i="58"/>
  <c r="C1067" i="58"/>
  <c r="C1066" i="58"/>
  <c r="C1065" i="58"/>
  <c r="C1064" i="58"/>
  <c r="C1063" i="58"/>
  <c r="C1062" i="58"/>
  <c r="C1061" i="58"/>
  <c r="C1060" i="58"/>
  <c r="C1059" i="58"/>
  <c r="C1058" i="58"/>
  <c r="C1057" i="58"/>
  <c r="C1056" i="58"/>
  <c r="C1055" i="58"/>
  <c r="C1054" i="58"/>
  <c r="C1053" i="58"/>
  <c r="C1052" i="58"/>
  <c r="C1051" i="58"/>
  <c r="C1050" i="58"/>
  <c r="C1049" i="58"/>
  <c r="C1048" i="58"/>
  <c r="C1047" i="58"/>
  <c r="C1046" i="58"/>
  <c r="C1045" i="58"/>
  <c r="C1044" i="58"/>
  <c r="C1043" i="58"/>
  <c r="C1042" i="58"/>
  <c r="C1041" i="58"/>
  <c r="C1040" i="58"/>
  <c r="C1039" i="58"/>
  <c r="C1038" i="58"/>
  <c r="C1037" i="58"/>
  <c r="C1036" i="58"/>
  <c r="C1035" i="58"/>
  <c r="C1034" i="58"/>
  <c r="C1033" i="58"/>
  <c r="C1032" i="58"/>
  <c r="C1031" i="58"/>
  <c r="C1030" i="58"/>
  <c r="C1029" i="58"/>
  <c r="C1028" i="58"/>
  <c r="C1027" i="58"/>
  <c r="C1026" i="58"/>
  <c r="C1025" i="58"/>
  <c r="C1024" i="58"/>
  <c r="C1023" i="58"/>
  <c r="C1022" i="58"/>
  <c r="C1021" i="58"/>
  <c r="C1020" i="58"/>
  <c r="C1019" i="58"/>
  <c r="C1018" i="58"/>
  <c r="C1017" i="58"/>
  <c r="C1016" i="58"/>
  <c r="C1015" i="58"/>
  <c r="C1014" i="58"/>
  <c r="C1013" i="58"/>
  <c r="C1012" i="58"/>
  <c r="C1011" i="58"/>
  <c r="C1010" i="58"/>
  <c r="C1009" i="58"/>
  <c r="C1008" i="58"/>
  <c r="C1007" i="58"/>
  <c r="C1006" i="58"/>
  <c r="C1005" i="58"/>
  <c r="C1004" i="58"/>
  <c r="C1003" i="58"/>
  <c r="C1002" i="58"/>
  <c r="C1001" i="58"/>
  <c r="C1000" i="58"/>
  <c r="C999" i="58"/>
  <c r="C998" i="58"/>
  <c r="C997" i="58"/>
  <c r="C996" i="58"/>
  <c r="C995" i="58"/>
  <c r="C994" i="58"/>
  <c r="C993" i="58"/>
  <c r="C992" i="58"/>
  <c r="C991" i="58"/>
  <c r="C990" i="58"/>
  <c r="C989" i="58"/>
  <c r="C988" i="58"/>
  <c r="C987" i="58"/>
  <c r="C986" i="58"/>
  <c r="C985" i="58"/>
  <c r="C984" i="58"/>
  <c r="C983" i="58"/>
  <c r="C982" i="58"/>
  <c r="C981" i="58"/>
  <c r="C980" i="58"/>
  <c r="C979" i="58"/>
  <c r="C978" i="58"/>
  <c r="C977" i="58"/>
  <c r="C976" i="58"/>
  <c r="C975" i="58"/>
  <c r="C974" i="58"/>
  <c r="C973" i="58"/>
  <c r="C972" i="58"/>
  <c r="C971" i="58"/>
  <c r="C970" i="58"/>
  <c r="C969" i="58"/>
  <c r="C968" i="58"/>
  <c r="C967" i="58"/>
  <c r="C966" i="58"/>
  <c r="C965" i="58"/>
  <c r="C964" i="58"/>
  <c r="C963" i="58"/>
  <c r="C962" i="58"/>
  <c r="C961" i="58"/>
  <c r="C960" i="58"/>
  <c r="C959" i="58"/>
  <c r="C958" i="58"/>
  <c r="C957" i="58"/>
  <c r="C956" i="58"/>
  <c r="C955" i="58"/>
  <c r="C954" i="58"/>
  <c r="C953" i="58"/>
  <c r="C952" i="58"/>
  <c r="C951" i="58"/>
  <c r="C950" i="58"/>
  <c r="C949" i="58"/>
  <c r="C948" i="58"/>
  <c r="C947" i="58"/>
  <c r="C946" i="58"/>
  <c r="C945" i="58"/>
  <c r="C944" i="58"/>
  <c r="C943" i="58"/>
  <c r="C942" i="58"/>
  <c r="C941" i="58"/>
  <c r="C940" i="58"/>
  <c r="C939" i="58"/>
  <c r="C938" i="58"/>
  <c r="C937" i="58"/>
  <c r="C936" i="58"/>
  <c r="C935" i="58"/>
  <c r="C934" i="58"/>
  <c r="C933" i="58"/>
  <c r="C932" i="58"/>
  <c r="C931" i="58"/>
  <c r="C930" i="58"/>
  <c r="C929" i="58"/>
  <c r="C928" i="58"/>
  <c r="C927" i="58"/>
  <c r="C926" i="58"/>
  <c r="C925" i="58"/>
  <c r="C924" i="58"/>
  <c r="C923" i="58"/>
  <c r="C922" i="58"/>
  <c r="C921" i="58"/>
  <c r="C920" i="58"/>
  <c r="C919" i="58"/>
  <c r="C918" i="58"/>
  <c r="C917" i="58"/>
  <c r="C916" i="58"/>
  <c r="C915" i="58"/>
  <c r="C914" i="58"/>
  <c r="C913" i="58"/>
  <c r="C912" i="58"/>
  <c r="C911" i="58"/>
  <c r="C910" i="58"/>
  <c r="C909" i="58"/>
  <c r="C908" i="58"/>
  <c r="C907" i="58"/>
  <c r="C906" i="58"/>
  <c r="C905" i="58"/>
  <c r="C904" i="58"/>
  <c r="C903" i="58"/>
  <c r="C902" i="58"/>
  <c r="C901" i="58"/>
  <c r="C900" i="58"/>
  <c r="C899" i="58"/>
  <c r="C898" i="58"/>
  <c r="C897" i="58"/>
  <c r="C896" i="58"/>
  <c r="C895" i="58"/>
  <c r="C894" i="58"/>
  <c r="C893" i="58"/>
  <c r="C892" i="58"/>
  <c r="C891" i="58"/>
  <c r="C890" i="58"/>
  <c r="C889" i="58"/>
  <c r="C888" i="58"/>
  <c r="C887" i="58"/>
  <c r="C886" i="58"/>
  <c r="C885" i="58"/>
  <c r="C884" i="58"/>
  <c r="C883" i="58"/>
  <c r="C882" i="58"/>
  <c r="C881" i="58"/>
  <c r="C880" i="58"/>
  <c r="C879" i="58"/>
  <c r="C878" i="58"/>
  <c r="C877" i="58"/>
  <c r="C876" i="58"/>
  <c r="C875" i="58"/>
  <c r="C874" i="58"/>
  <c r="C873" i="58"/>
  <c r="C872" i="58"/>
  <c r="C871" i="58"/>
  <c r="C870" i="58"/>
  <c r="C869" i="58"/>
  <c r="C868" i="58"/>
  <c r="C867" i="58"/>
  <c r="C866" i="58"/>
  <c r="C865" i="58"/>
  <c r="C864" i="58"/>
  <c r="C863" i="58"/>
  <c r="C862" i="58"/>
  <c r="C861" i="58"/>
  <c r="C860" i="58"/>
  <c r="C859" i="58"/>
  <c r="C858" i="58"/>
  <c r="C857" i="58"/>
  <c r="C856" i="58"/>
  <c r="C855" i="58"/>
  <c r="C854" i="58"/>
  <c r="C853" i="58"/>
  <c r="C852" i="58"/>
  <c r="C851" i="58"/>
  <c r="C850" i="58"/>
  <c r="C849" i="58"/>
  <c r="C848" i="58"/>
  <c r="C847" i="58"/>
  <c r="C846" i="58"/>
  <c r="C845" i="58"/>
  <c r="C844" i="58"/>
  <c r="C843" i="58"/>
  <c r="C842" i="58"/>
  <c r="C841" i="58"/>
  <c r="C840" i="58"/>
  <c r="C839" i="58"/>
  <c r="C838" i="58"/>
  <c r="C837" i="58"/>
  <c r="C836" i="58"/>
  <c r="C835" i="58"/>
  <c r="C834" i="58"/>
  <c r="C833" i="58"/>
  <c r="C832" i="58"/>
  <c r="C831" i="58"/>
  <c r="C830" i="58"/>
  <c r="C829" i="58"/>
  <c r="C828" i="58"/>
  <c r="C827" i="58"/>
  <c r="C826" i="58"/>
  <c r="C825" i="58"/>
  <c r="C824" i="58"/>
  <c r="C823" i="58"/>
  <c r="C822" i="58"/>
  <c r="C821" i="58"/>
  <c r="C820" i="58"/>
  <c r="C819" i="58"/>
  <c r="C818" i="58"/>
  <c r="C817" i="58"/>
  <c r="C816" i="58"/>
  <c r="C815" i="58"/>
  <c r="C814" i="58"/>
  <c r="C813" i="58"/>
  <c r="C812" i="58"/>
  <c r="C811" i="58"/>
  <c r="C810" i="58"/>
  <c r="C809" i="58"/>
  <c r="C808" i="58"/>
  <c r="C807" i="58"/>
  <c r="C806" i="58"/>
  <c r="C805" i="58"/>
  <c r="C804" i="58"/>
  <c r="C803" i="58"/>
  <c r="C802" i="58"/>
  <c r="C801" i="58"/>
  <c r="C800" i="58"/>
  <c r="C799" i="58"/>
  <c r="C798" i="58"/>
  <c r="C797" i="58"/>
  <c r="C796" i="58"/>
  <c r="C795" i="58"/>
  <c r="C794" i="58"/>
  <c r="C793" i="58"/>
  <c r="C792" i="58"/>
  <c r="C791" i="58"/>
  <c r="C790" i="58"/>
  <c r="C789" i="58"/>
  <c r="C788" i="58"/>
  <c r="C787" i="58"/>
  <c r="C786" i="58"/>
  <c r="C785" i="58"/>
  <c r="C784" i="58"/>
  <c r="C783" i="58"/>
  <c r="C782" i="58"/>
  <c r="C781" i="58"/>
  <c r="C780" i="58"/>
  <c r="C779" i="58"/>
  <c r="C778" i="58"/>
  <c r="C777" i="58"/>
  <c r="C776" i="58"/>
  <c r="C775" i="58"/>
  <c r="C774" i="58"/>
  <c r="C773" i="58"/>
  <c r="C772" i="58"/>
  <c r="C771" i="58"/>
  <c r="C770" i="58"/>
  <c r="C769" i="58"/>
  <c r="C768" i="58"/>
  <c r="C767" i="58"/>
  <c r="C766" i="58"/>
  <c r="C765" i="58"/>
  <c r="C764" i="58"/>
  <c r="C763" i="58"/>
  <c r="C762" i="58"/>
  <c r="C761" i="58"/>
  <c r="C760" i="58"/>
  <c r="C759" i="58"/>
  <c r="C758" i="58"/>
  <c r="C757" i="58"/>
  <c r="C756" i="58"/>
  <c r="C755" i="58"/>
  <c r="C754" i="58"/>
  <c r="C753" i="58"/>
  <c r="C752" i="58"/>
  <c r="C751" i="58"/>
  <c r="C750" i="58"/>
  <c r="C749" i="58"/>
  <c r="C748" i="58"/>
  <c r="C747" i="58"/>
  <c r="C746" i="58"/>
  <c r="C745" i="58"/>
  <c r="C744" i="58"/>
  <c r="C743" i="58"/>
  <c r="C742" i="58"/>
  <c r="C741" i="58"/>
  <c r="C740" i="58"/>
  <c r="C739" i="58"/>
  <c r="C738" i="58"/>
  <c r="C737" i="58"/>
  <c r="C736" i="58"/>
  <c r="C735" i="58"/>
  <c r="C734" i="58"/>
  <c r="C733" i="58"/>
  <c r="C732" i="58"/>
  <c r="C731" i="58"/>
  <c r="C730" i="58"/>
  <c r="C729" i="58"/>
  <c r="C728" i="58"/>
  <c r="C727" i="58"/>
  <c r="C726" i="58"/>
  <c r="C725" i="58"/>
  <c r="C724" i="58"/>
  <c r="C723" i="58"/>
  <c r="C722" i="58"/>
  <c r="C721" i="58"/>
  <c r="C720" i="58"/>
  <c r="C719" i="58"/>
  <c r="C718" i="58"/>
  <c r="C717" i="58"/>
  <c r="C716" i="58"/>
  <c r="C715" i="58"/>
  <c r="C714" i="58"/>
  <c r="C713" i="58"/>
  <c r="C712" i="58"/>
  <c r="C711" i="58"/>
  <c r="C710" i="58"/>
  <c r="C709" i="58"/>
  <c r="C708" i="58"/>
  <c r="C707" i="58"/>
  <c r="C706" i="58"/>
  <c r="C705" i="58"/>
  <c r="C704" i="58"/>
  <c r="C703" i="58"/>
  <c r="C702" i="58"/>
  <c r="C701" i="58"/>
  <c r="C700" i="58"/>
  <c r="C699" i="58"/>
  <c r="C698" i="58"/>
  <c r="C697" i="58"/>
  <c r="C696" i="58"/>
  <c r="C695" i="58"/>
  <c r="C694" i="58"/>
  <c r="C693" i="58"/>
  <c r="C692" i="58"/>
  <c r="C691" i="58"/>
  <c r="C690" i="58"/>
  <c r="C689" i="58"/>
  <c r="C688" i="58"/>
  <c r="C687" i="58"/>
  <c r="C686" i="58"/>
  <c r="C685" i="58"/>
  <c r="C684" i="58"/>
  <c r="C683" i="58"/>
  <c r="C682" i="58"/>
  <c r="C681" i="58"/>
  <c r="C680" i="58"/>
  <c r="C679" i="58"/>
  <c r="C678" i="58"/>
  <c r="C677" i="58"/>
  <c r="C676" i="58"/>
  <c r="C675" i="58"/>
  <c r="C674" i="58"/>
  <c r="C673" i="58"/>
  <c r="C672" i="58"/>
  <c r="C671" i="58"/>
  <c r="C670" i="58"/>
  <c r="C669" i="58"/>
  <c r="C668" i="58"/>
  <c r="C667" i="58"/>
  <c r="C666" i="58"/>
  <c r="C665" i="58"/>
  <c r="C664" i="58"/>
  <c r="C663" i="58"/>
  <c r="C662" i="58"/>
  <c r="C661" i="58"/>
  <c r="C660" i="58"/>
  <c r="C659" i="58"/>
  <c r="C658" i="58"/>
  <c r="C657" i="58"/>
  <c r="C656" i="58"/>
  <c r="C655" i="58"/>
  <c r="C654" i="58"/>
  <c r="C653" i="58"/>
  <c r="C652" i="58"/>
  <c r="C651" i="58"/>
  <c r="C650" i="58"/>
  <c r="C649" i="58"/>
  <c r="C648" i="58"/>
  <c r="C647" i="58"/>
  <c r="C646" i="58"/>
  <c r="C645" i="58"/>
  <c r="C644" i="58"/>
  <c r="C643" i="58"/>
  <c r="C642" i="58"/>
  <c r="C641" i="58"/>
  <c r="C640" i="58"/>
  <c r="C639" i="58"/>
  <c r="C638" i="58"/>
  <c r="C637" i="58"/>
  <c r="C636" i="58"/>
  <c r="C635" i="58"/>
  <c r="C634" i="58"/>
  <c r="C633" i="58"/>
  <c r="C632" i="58"/>
  <c r="C631" i="58"/>
  <c r="C630" i="58"/>
  <c r="C629" i="58"/>
  <c r="C628" i="58"/>
  <c r="C627" i="58"/>
  <c r="C626" i="58"/>
  <c r="C625" i="58"/>
  <c r="C624" i="58"/>
  <c r="C623" i="58"/>
  <c r="C622" i="58"/>
  <c r="C621" i="58"/>
  <c r="C620" i="58"/>
  <c r="C619" i="58"/>
  <c r="C618" i="58"/>
  <c r="C617" i="58"/>
  <c r="C616" i="58"/>
  <c r="C615" i="58"/>
  <c r="C614" i="58"/>
  <c r="C613" i="58"/>
  <c r="C612" i="58"/>
  <c r="C611" i="58"/>
  <c r="C610" i="58"/>
  <c r="C609" i="58"/>
  <c r="C608" i="58"/>
  <c r="C607" i="58"/>
  <c r="C606" i="58"/>
  <c r="C605" i="58"/>
  <c r="C604" i="58"/>
  <c r="C603" i="58"/>
  <c r="C602" i="58"/>
  <c r="C601" i="58"/>
  <c r="C600" i="58"/>
  <c r="C599" i="58"/>
  <c r="C598" i="58"/>
  <c r="C597" i="58"/>
  <c r="C596" i="58"/>
  <c r="C595" i="58"/>
  <c r="C594" i="58"/>
  <c r="C593" i="58"/>
  <c r="C592" i="58"/>
  <c r="C591" i="58"/>
  <c r="C590" i="58"/>
  <c r="C589" i="58"/>
  <c r="C588" i="58"/>
  <c r="C587" i="58"/>
  <c r="C586" i="58"/>
  <c r="C585" i="58"/>
  <c r="C584" i="58"/>
  <c r="C583" i="58"/>
  <c r="C582" i="58"/>
  <c r="C581" i="58"/>
  <c r="C580" i="58"/>
  <c r="C579" i="58"/>
  <c r="C578" i="58"/>
  <c r="C577" i="58"/>
  <c r="C576" i="58"/>
  <c r="C575" i="58"/>
  <c r="C574" i="58"/>
  <c r="C573" i="58"/>
  <c r="C572" i="58"/>
  <c r="C571" i="58"/>
  <c r="C570" i="58"/>
  <c r="C569" i="58"/>
  <c r="C568" i="58"/>
  <c r="C567" i="58"/>
  <c r="C566" i="58"/>
  <c r="C565" i="58"/>
  <c r="C564" i="58"/>
  <c r="C563" i="58"/>
  <c r="C562" i="58"/>
  <c r="C561" i="58"/>
  <c r="C560" i="58"/>
  <c r="C559" i="58"/>
  <c r="C558" i="58"/>
  <c r="C557" i="58"/>
  <c r="C556" i="58"/>
  <c r="C555" i="58"/>
  <c r="C554" i="58"/>
  <c r="C553" i="58"/>
  <c r="C552" i="58"/>
  <c r="C551" i="58"/>
  <c r="C550" i="58"/>
  <c r="C549" i="58"/>
  <c r="C548" i="58"/>
  <c r="C547" i="58"/>
  <c r="C546" i="58"/>
  <c r="C545" i="58"/>
  <c r="C544" i="58"/>
  <c r="C543" i="58"/>
  <c r="C542" i="58"/>
  <c r="C541" i="58"/>
  <c r="C540" i="58"/>
  <c r="C539" i="58"/>
  <c r="C538" i="58"/>
  <c r="C537" i="58"/>
  <c r="C536" i="58"/>
  <c r="C535" i="58"/>
  <c r="C534" i="58"/>
  <c r="C533" i="58"/>
  <c r="C532" i="58"/>
  <c r="C531" i="58"/>
  <c r="C530" i="58"/>
  <c r="C529" i="58"/>
  <c r="C528" i="58"/>
  <c r="C527" i="58"/>
  <c r="C526" i="58"/>
  <c r="C525" i="58"/>
  <c r="C524" i="58"/>
  <c r="C523" i="58"/>
  <c r="C522" i="58"/>
  <c r="C521" i="58"/>
  <c r="C520" i="58"/>
  <c r="C519" i="58"/>
  <c r="C518" i="58"/>
  <c r="C517" i="58"/>
  <c r="C516" i="58"/>
  <c r="C515" i="58"/>
  <c r="C514" i="58"/>
  <c r="C513" i="58"/>
  <c r="C512" i="58"/>
  <c r="C511" i="58"/>
  <c r="C510" i="58"/>
  <c r="C509" i="58"/>
  <c r="C508" i="58"/>
  <c r="C507" i="58"/>
  <c r="C506" i="58"/>
  <c r="C505" i="58"/>
  <c r="C504" i="58"/>
  <c r="C503" i="58"/>
  <c r="C502" i="58"/>
  <c r="C501" i="58"/>
  <c r="C500" i="58"/>
  <c r="C499" i="58"/>
  <c r="C498" i="58"/>
  <c r="C497" i="58"/>
  <c r="C496" i="58"/>
  <c r="C495" i="58"/>
  <c r="C494" i="58"/>
  <c r="C493" i="58"/>
  <c r="C492" i="58"/>
  <c r="C491" i="58"/>
  <c r="C490" i="58"/>
  <c r="C489" i="58"/>
  <c r="C488" i="58"/>
  <c r="C487" i="58"/>
  <c r="C486" i="58"/>
  <c r="C485" i="58"/>
  <c r="C484" i="58"/>
  <c r="C483" i="58"/>
  <c r="C482" i="58"/>
  <c r="C481" i="58"/>
  <c r="C480" i="58"/>
  <c r="C479" i="58"/>
  <c r="C478" i="58"/>
  <c r="C477" i="58"/>
  <c r="C476" i="58"/>
  <c r="C475" i="58"/>
  <c r="C474" i="58"/>
  <c r="C473" i="58"/>
  <c r="C472" i="58"/>
  <c r="C471" i="58"/>
  <c r="C470" i="58"/>
  <c r="C469" i="58"/>
  <c r="C468" i="58"/>
  <c r="C467" i="58"/>
  <c r="C466" i="58"/>
  <c r="C465" i="58"/>
  <c r="C464" i="58"/>
  <c r="C463" i="58"/>
  <c r="C462" i="58"/>
  <c r="C461" i="58"/>
  <c r="C460" i="58"/>
  <c r="C459" i="58"/>
  <c r="C458" i="58"/>
  <c r="C457" i="58"/>
  <c r="C456" i="58"/>
  <c r="C455" i="58"/>
  <c r="C454" i="58"/>
  <c r="C453" i="58"/>
  <c r="C452" i="58"/>
  <c r="C451" i="58"/>
  <c r="C450" i="58"/>
  <c r="C449" i="58"/>
  <c r="C448" i="58"/>
  <c r="C447" i="58"/>
  <c r="C446" i="58"/>
  <c r="C445" i="58"/>
  <c r="C444" i="58"/>
  <c r="C443" i="58"/>
  <c r="C442" i="58"/>
  <c r="C441" i="58"/>
  <c r="C440" i="58"/>
  <c r="C439" i="58"/>
  <c r="C438" i="58"/>
  <c r="C437" i="58"/>
  <c r="C436" i="58"/>
  <c r="C435" i="58"/>
  <c r="C434" i="58"/>
  <c r="C433" i="58"/>
  <c r="C432" i="58"/>
  <c r="C431" i="58"/>
  <c r="C430" i="58"/>
  <c r="C429" i="58"/>
  <c r="C428" i="58"/>
  <c r="C427" i="58"/>
  <c r="C426" i="58"/>
  <c r="C425" i="58"/>
  <c r="C424" i="58"/>
  <c r="C423" i="58"/>
  <c r="C422" i="58"/>
  <c r="C421" i="58"/>
  <c r="C420" i="58"/>
  <c r="C419" i="58"/>
  <c r="C418" i="58"/>
  <c r="C417" i="58"/>
  <c r="C416" i="58"/>
  <c r="C415" i="58"/>
  <c r="C414" i="58"/>
  <c r="C413" i="58"/>
  <c r="C412" i="58"/>
  <c r="C411" i="58"/>
  <c r="C410" i="58"/>
  <c r="C409" i="58"/>
  <c r="C408" i="58"/>
  <c r="C407" i="58"/>
  <c r="C406" i="58"/>
  <c r="C405" i="58"/>
  <c r="C404" i="58"/>
  <c r="C403" i="58"/>
  <c r="C402" i="58"/>
  <c r="C401" i="58"/>
  <c r="C400" i="58"/>
  <c r="C399" i="58"/>
  <c r="C398" i="58"/>
  <c r="C397" i="58"/>
  <c r="C396" i="58"/>
  <c r="C395" i="58"/>
  <c r="C394" i="58"/>
  <c r="C393" i="58"/>
  <c r="C392" i="58"/>
  <c r="C391" i="58"/>
  <c r="C390" i="58"/>
  <c r="C389" i="58"/>
  <c r="C388" i="58"/>
  <c r="C387" i="58"/>
  <c r="C386" i="58"/>
  <c r="C385" i="58"/>
  <c r="C384" i="58"/>
  <c r="C383" i="58"/>
  <c r="C382" i="58"/>
  <c r="C381" i="58"/>
  <c r="C380" i="58"/>
  <c r="C379" i="58"/>
  <c r="C378" i="58"/>
  <c r="C377" i="58"/>
  <c r="C376" i="58"/>
  <c r="C375" i="58"/>
  <c r="C374" i="58"/>
  <c r="C373" i="58"/>
  <c r="C372" i="58"/>
  <c r="C371" i="58"/>
  <c r="C370" i="58"/>
  <c r="C369" i="58"/>
  <c r="C368" i="58"/>
  <c r="C367" i="58"/>
  <c r="C366" i="58"/>
  <c r="C365" i="58"/>
  <c r="C364" i="58"/>
  <c r="C363" i="58"/>
  <c r="C362" i="58"/>
  <c r="C361" i="58"/>
  <c r="C360" i="58"/>
  <c r="C359" i="58"/>
  <c r="C358" i="58"/>
  <c r="C357" i="58"/>
  <c r="C356" i="58"/>
  <c r="C355" i="58"/>
  <c r="C354" i="58"/>
  <c r="C353" i="58"/>
  <c r="C352" i="58"/>
  <c r="C351" i="58"/>
  <c r="C350" i="58"/>
  <c r="C349" i="58"/>
  <c r="C348" i="58"/>
  <c r="C347" i="58"/>
  <c r="C346" i="58"/>
  <c r="C345" i="58"/>
  <c r="C344" i="58"/>
  <c r="C343" i="58"/>
  <c r="C342" i="58"/>
  <c r="C341" i="58"/>
  <c r="C340" i="58"/>
  <c r="C339" i="58"/>
  <c r="C338" i="58"/>
  <c r="C337" i="58"/>
  <c r="C336" i="58"/>
  <c r="C335" i="58"/>
  <c r="C334" i="58"/>
  <c r="C333" i="58"/>
  <c r="C332" i="58"/>
  <c r="C331" i="58"/>
  <c r="C330" i="58"/>
  <c r="C329" i="58"/>
  <c r="C328" i="58"/>
  <c r="C327" i="58"/>
  <c r="C326" i="58"/>
  <c r="C325" i="58"/>
  <c r="C324" i="58"/>
  <c r="C323" i="58"/>
  <c r="C322" i="58"/>
  <c r="C321" i="58"/>
  <c r="C320" i="58"/>
  <c r="C319" i="58"/>
  <c r="C318" i="58"/>
  <c r="C317" i="58"/>
  <c r="C316" i="58"/>
  <c r="C315" i="58"/>
  <c r="C314" i="58"/>
  <c r="C313" i="58"/>
  <c r="C312" i="58"/>
  <c r="C311" i="58"/>
  <c r="C310" i="58"/>
  <c r="C309" i="58"/>
  <c r="C308" i="58"/>
  <c r="C307" i="58"/>
  <c r="C306" i="58"/>
  <c r="C305" i="58"/>
  <c r="C304" i="58"/>
  <c r="C303" i="58"/>
  <c r="C302" i="58"/>
  <c r="C301" i="58"/>
  <c r="C300" i="58"/>
  <c r="C299" i="58"/>
  <c r="C298" i="58"/>
  <c r="C297" i="58"/>
  <c r="C296" i="58"/>
  <c r="C295" i="58"/>
  <c r="C294" i="58"/>
  <c r="C293" i="58"/>
  <c r="C292" i="58"/>
  <c r="C291" i="58"/>
  <c r="C290" i="58"/>
  <c r="C289" i="58"/>
  <c r="C288" i="58"/>
  <c r="C287" i="58"/>
  <c r="C286" i="58"/>
  <c r="C285" i="58"/>
  <c r="C284" i="58"/>
  <c r="C283" i="58"/>
  <c r="C282" i="58"/>
  <c r="C281" i="58"/>
  <c r="C280" i="58"/>
  <c r="C279" i="58"/>
  <c r="C278" i="58"/>
  <c r="C277" i="58"/>
  <c r="C276" i="58"/>
  <c r="C275" i="58"/>
  <c r="C274" i="58"/>
  <c r="C273" i="58"/>
  <c r="C272" i="58"/>
  <c r="C271" i="58"/>
  <c r="C270" i="58"/>
  <c r="C269" i="58"/>
  <c r="C268" i="58"/>
  <c r="C267" i="58"/>
  <c r="C266" i="58"/>
  <c r="C265" i="58"/>
  <c r="C264" i="58"/>
  <c r="C263" i="58"/>
  <c r="C262" i="58"/>
  <c r="C261" i="58"/>
  <c r="C260" i="58"/>
  <c r="C259" i="58"/>
  <c r="C258" i="58"/>
  <c r="C257" i="58"/>
  <c r="C256" i="58"/>
  <c r="C255" i="58"/>
  <c r="C254" i="58"/>
  <c r="C253" i="58"/>
  <c r="C252" i="58"/>
  <c r="C251" i="58"/>
  <c r="C250" i="58"/>
  <c r="C249" i="58"/>
  <c r="C248" i="58"/>
  <c r="C247" i="58"/>
  <c r="C246" i="58"/>
  <c r="C245" i="58"/>
  <c r="C244" i="58"/>
  <c r="C243" i="58"/>
  <c r="C242" i="58"/>
  <c r="C241" i="58"/>
  <c r="C240" i="58"/>
  <c r="C239" i="58"/>
  <c r="C238" i="58"/>
  <c r="C237" i="58"/>
  <c r="C236" i="58"/>
  <c r="C235" i="58"/>
  <c r="C234" i="58"/>
  <c r="C233" i="58"/>
  <c r="C232" i="58"/>
  <c r="C231" i="58"/>
  <c r="C230" i="58"/>
  <c r="C229" i="58"/>
  <c r="C228" i="58"/>
  <c r="C227" i="58"/>
  <c r="C226" i="58"/>
  <c r="C225" i="58"/>
  <c r="C224" i="58"/>
  <c r="C223" i="58"/>
  <c r="C222" i="58"/>
  <c r="C221" i="58"/>
  <c r="C220" i="58"/>
  <c r="C219" i="58"/>
  <c r="C218" i="58"/>
  <c r="C217" i="58"/>
  <c r="C216" i="58"/>
  <c r="C215" i="58"/>
  <c r="C214" i="58"/>
  <c r="C213" i="58"/>
  <c r="C212" i="58"/>
  <c r="C211" i="58"/>
  <c r="C210" i="58"/>
  <c r="C209" i="58"/>
  <c r="C208" i="58"/>
  <c r="C207" i="58"/>
  <c r="C206" i="58"/>
  <c r="C205" i="58"/>
  <c r="C204" i="58"/>
  <c r="C203" i="58"/>
  <c r="C202" i="58"/>
  <c r="C201" i="58"/>
  <c r="C200" i="58"/>
  <c r="C199" i="58"/>
  <c r="C198" i="58"/>
  <c r="C197" i="58"/>
  <c r="C196" i="58"/>
  <c r="C195" i="58"/>
  <c r="C194" i="58"/>
  <c r="C193" i="58"/>
  <c r="C192" i="58"/>
  <c r="C191" i="58"/>
  <c r="C190" i="58"/>
  <c r="C189" i="58"/>
  <c r="C188" i="58"/>
  <c r="C187" i="58"/>
  <c r="C186" i="58"/>
  <c r="C185" i="58"/>
  <c r="C184" i="58"/>
  <c r="C183" i="58"/>
  <c r="C182" i="58"/>
  <c r="C181" i="58"/>
  <c r="C180" i="58"/>
  <c r="C179" i="58"/>
  <c r="C178" i="58"/>
  <c r="C177" i="58"/>
  <c r="C176" i="58"/>
  <c r="C175" i="58"/>
  <c r="C174" i="58"/>
  <c r="C173" i="58"/>
  <c r="C172" i="58"/>
  <c r="C171" i="58"/>
  <c r="C170" i="58"/>
  <c r="C169" i="58"/>
  <c r="C168" i="58"/>
  <c r="C167" i="58"/>
  <c r="C166" i="58"/>
  <c r="C165" i="58"/>
  <c r="C164" i="58"/>
  <c r="C163" i="58"/>
  <c r="C162" i="58"/>
  <c r="C161" i="58"/>
  <c r="C160" i="58"/>
  <c r="C159" i="58"/>
  <c r="C158" i="58"/>
  <c r="C157" i="58"/>
  <c r="C156" i="58"/>
  <c r="C155" i="58"/>
  <c r="C154" i="58"/>
  <c r="C153" i="58"/>
  <c r="C152" i="58"/>
  <c r="C151" i="58"/>
  <c r="C150" i="58"/>
  <c r="C149" i="58"/>
  <c r="C148" i="58"/>
  <c r="C147" i="58"/>
  <c r="C146" i="58"/>
  <c r="C145" i="58"/>
  <c r="C144" i="58"/>
  <c r="C143" i="58"/>
  <c r="C142" i="58"/>
  <c r="C141" i="58"/>
  <c r="C140" i="58"/>
  <c r="C139" i="58"/>
  <c r="C138" i="58"/>
  <c r="C137" i="58"/>
  <c r="C136" i="58"/>
  <c r="C135" i="58"/>
  <c r="C134" i="58"/>
  <c r="C133" i="58"/>
  <c r="C132" i="58"/>
  <c r="C131" i="58"/>
  <c r="C130" i="58"/>
  <c r="C129" i="58"/>
  <c r="C128" i="58"/>
  <c r="C127" i="58"/>
  <c r="C126" i="58"/>
  <c r="C125" i="58"/>
  <c r="C124" i="58"/>
  <c r="C123" i="58"/>
  <c r="C122" i="58"/>
  <c r="C121" i="58"/>
  <c r="C120" i="58"/>
  <c r="C119" i="58"/>
  <c r="C118" i="58"/>
  <c r="C117" i="58"/>
  <c r="C116" i="58"/>
  <c r="C115" i="58"/>
  <c r="C114" i="58"/>
  <c r="C113" i="58"/>
  <c r="C112" i="58"/>
  <c r="C111" i="58"/>
  <c r="C110" i="58"/>
  <c r="C109" i="58"/>
  <c r="C108" i="58"/>
  <c r="C107" i="58"/>
  <c r="C106" i="58"/>
  <c r="C105" i="58"/>
  <c r="C104" i="58"/>
  <c r="C103" i="58"/>
  <c r="C102" i="58"/>
  <c r="C101" i="58"/>
  <c r="C100" i="58"/>
  <c r="C99" i="58"/>
  <c r="C98" i="58"/>
  <c r="C97" i="58"/>
  <c r="C96" i="58"/>
  <c r="C95" i="58"/>
  <c r="C94" i="58"/>
  <c r="C93" i="58"/>
  <c r="C92" i="58"/>
  <c r="C91" i="58"/>
  <c r="C90" i="58"/>
  <c r="C89" i="58"/>
  <c r="C88" i="58"/>
  <c r="C87" i="58"/>
  <c r="C86" i="58"/>
  <c r="C85" i="58"/>
  <c r="C84" i="58"/>
  <c r="C83" i="58"/>
  <c r="C82" i="58"/>
  <c r="C81" i="58"/>
  <c r="C80" i="58"/>
  <c r="C79" i="58"/>
  <c r="C78" i="58"/>
  <c r="C77" i="58"/>
  <c r="C76" i="58"/>
  <c r="C75" i="58"/>
  <c r="C74" i="58"/>
  <c r="C73" i="58"/>
  <c r="C72" i="58"/>
  <c r="C71" i="58"/>
  <c r="C70" i="58"/>
  <c r="C69" i="58"/>
  <c r="C68" i="58"/>
  <c r="C67" i="58"/>
  <c r="C66" i="58"/>
  <c r="C65" i="58"/>
  <c r="C64" i="58"/>
  <c r="C63" i="58"/>
  <c r="C62" i="58"/>
  <c r="C61" i="58"/>
  <c r="C60" i="58"/>
  <c r="C59" i="58"/>
  <c r="C58" i="58"/>
  <c r="C57" i="58"/>
  <c r="C56" i="58"/>
  <c r="C55" i="58"/>
  <c r="C54" i="58"/>
  <c r="C53" i="58"/>
  <c r="C52" i="58"/>
  <c r="C51" i="58"/>
  <c r="C50" i="58"/>
  <c r="C49" i="58"/>
  <c r="C48" i="58"/>
  <c r="C47" i="58"/>
  <c r="C46" i="58"/>
  <c r="C45" i="58"/>
  <c r="C44" i="58"/>
  <c r="C43" i="58"/>
  <c r="C42" i="58"/>
  <c r="C41" i="58"/>
  <c r="C40" i="58"/>
  <c r="C39" i="58"/>
  <c r="C38" i="58"/>
  <c r="C37" i="58"/>
  <c r="C36" i="58"/>
  <c r="C35" i="58"/>
  <c r="C34" i="58"/>
  <c r="C33" i="58"/>
  <c r="C32" i="58"/>
  <c r="C31" i="58"/>
  <c r="C30" i="58"/>
  <c r="C29" i="58"/>
  <c r="C28" i="58"/>
  <c r="C27" i="58"/>
  <c r="C26" i="58"/>
  <c r="C25" i="58"/>
  <c r="C24" i="58"/>
  <c r="C23" i="58"/>
  <c r="C22" i="58"/>
  <c r="C21" i="58"/>
  <c r="C20" i="58"/>
  <c r="C19" i="58"/>
  <c r="C18" i="58"/>
  <c r="C17" i="58"/>
  <c r="C16" i="58"/>
  <c r="C15" i="58"/>
  <c r="C14" i="58"/>
  <c r="C13" i="58"/>
  <c r="C12" i="58"/>
  <c r="C11" i="58"/>
  <c r="C10" i="58"/>
  <c r="C9" i="58"/>
  <c r="C8" i="58"/>
  <c r="C7" i="58"/>
  <c r="C6" i="58"/>
  <c r="C3005" i="54"/>
  <c r="C3004" i="54"/>
  <c r="C3003" i="54"/>
  <c r="C3002" i="54"/>
  <c r="C3001" i="54"/>
  <c r="C3000" i="54"/>
  <c r="C2999" i="54"/>
  <c r="C2998" i="54"/>
  <c r="C2997" i="54"/>
  <c r="C2996" i="54"/>
  <c r="C2995" i="54"/>
  <c r="C2994" i="54"/>
  <c r="C2993" i="54"/>
  <c r="C2992" i="54"/>
  <c r="C2991" i="54"/>
  <c r="C2990" i="54"/>
  <c r="C2989" i="54"/>
  <c r="C2988" i="54"/>
  <c r="C2987" i="54"/>
  <c r="C2986" i="54"/>
  <c r="C2985" i="54"/>
  <c r="C2984" i="54"/>
  <c r="C2983" i="54"/>
  <c r="C2982" i="54"/>
  <c r="C2981" i="54"/>
  <c r="C2980" i="54"/>
  <c r="C2979" i="54"/>
  <c r="C2978" i="54"/>
  <c r="C2977" i="54"/>
  <c r="C2976" i="54"/>
  <c r="C2975" i="54"/>
  <c r="C2974" i="54"/>
  <c r="C2973" i="54"/>
  <c r="C2972" i="54"/>
  <c r="C2971" i="54"/>
  <c r="C2970" i="54"/>
  <c r="C2969" i="54"/>
  <c r="C2968" i="54"/>
  <c r="C2967" i="54"/>
  <c r="C2966" i="54"/>
  <c r="C2965" i="54"/>
  <c r="C2964" i="54"/>
  <c r="C2963" i="54"/>
  <c r="C2962" i="54"/>
  <c r="C2961" i="54"/>
  <c r="C2960" i="54"/>
  <c r="C2959" i="54"/>
  <c r="C2958" i="54"/>
  <c r="C2957" i="54"/>
  <c r="C2956" i="54"/>
  <c r="C2955" i="54"/>
  <c r="C2954" i="54"/>
  <c r="C2953" i="54"/>
  <c r="C2952" i="54"/>
  <c r="C2951" i="54"/>
  <c r="C2950" i="54"/>
  <c r="C2949" i="54"/>
  <c r="C2948" i="54"/>
  <c r="C2947" i="54"/>
  <c r="C2946" i="54"/>
  <c r="C2945" i="54"/>
  <c r="C2944" i="54"/>
  <c r="C2943" i="54"/>
  <c r="C2942" i="54"/>
  <c r="C2941" i="54"/>
  <c r="C2940" i="54"/>
  <c r="C2939" i="54"/>
  <c r="C2938" i="54"/>
  <c r="C2937" i="54"/>
  <c r="C2936" i="54"/>
  <c r="C2935" i="54"/>
  <c r="C2934" i="54"/>
  <c r="C2933" i="54"/>
  <c r="C2932" i="54"/>
  <c r="C2931" i="54"/>
  <c r="C2930" i="54"/>
  <c r="C2929" i="54"/>
  <c r="C2928" i="54"/>
  <c r="C2927" i="54"/>
  <c r="C2926" i="54"/>
  <c r="C2925" i="54"/>
  <c r="C2924" i="54"/>
  <c r="C2923" i="54"/>
  <c r="C2922" i="54"/>
  <c r="C2921" i="54"/>
  <c r="C2920" i="54"/>
  <c r="C2919" i="54"/>
  <c r="C2918" i="54"/>
  <c r="C2917" i="54"/>
  <c r="C2916" i="54"/>
  <c r="C2915" i="54"/>
  <c r="C2914" i="54"/>
  <c r="C2913" i="54"/>
  <c r="C2912" i="54"/>
  <c r="C2911" i="54"/>
  <c r="C2910" i="54"/>
  <c r="C2909" i="54"/>
  <c r="C2908" i="54"/>
  <c r="C2907" i="54"/>
  <c r="C2906" i="54"/>
  <c r="C2905" i="54"/>
  <c r="C2904" i="54"/>
  <c r="C2903" i="54"/>
  <c r="C2902" i="54"/>
  <c r="C2901" i="54"/>
  <c r="C2900" i="54"/>
  <c r="C2899" i="54"/>
  <c r="C2898" i="54"/>
  <c r="C2897" i="54"/>
  <c r="C2896" i="54"/>
  <c r="C2895" i="54"/>
  <c r="C2894" i="54"/>
  <c r="C2893" i="54"/>
  <c r="C2892" i="54"/>
  <c r="C2891" i="54"/>
  <c r="C2890" i="54"/>
  <c r="C2889" i="54"/>
  <c r="C2888" i="54"/>
  <c r="C2887" i="54"/>
  <c r="C2886" i="54"/>
  <c r="C2885" i="54"/>
  <c r="C2884" i="54"/>
  <c r="C2883" i="54"/>
  <c r="C2882" i="54"/>
  <c r="C2881" i="54"/>
  <c r="C2880" i="54"/>
  <c r="C2879" i="54"/>
  <c r="C2878" i="54"/>
  <c r="C2877" i="54"/>
  <c r="C2876" i="54"/>
  <c r="C2875" i="54"/>
  <c r="C2874" i="54"/>
  <c r="C2873" i="54"/>
  <c r="C2872" i="54"/>
  <c r="C2871" i="54"/>
  <c r="C2870" i="54"/>
  <c r="C2869" i="54"/>
  <c r="C2868" i="54"/>
  <c r="C2867" i="54"/>
  <c r="C2866" i="54"/>
  <c r="C2865" i="54"/>
  <c r="C2864" i="54"/>
  <c r="C2863" i="54"/>
  <c r="C2862" i="54"/>
  <c r="C2861" i="54"/>
  <c r="C2860" i="54"/>
  <c r="C2859" i="54"/>
  <c r="C2858" i="54"/>
  <c r="C2857" i="54"/>
  <c r="C2856" i="54"/>
  <c r="C2855" i="54"/>
  <c r="C2854" i="54"/>
  <c r="C2853" i="54"/>
  <c r="C2852" i="54"/>
  <c r="C2851" i="54"/>
  <c r="C2850" i="54"/>
  <c r="C2849" i="54"/>
  <c r="C2848" i="54"/>
  <c r="C2847" i="54"/>
  <c r="C2846" i="54"/>
  <c r="C2845" i="54"/>
  <c r="C2844" i="54"/>
  <c r="C2843" i="54"/>
  <c r="C2842" i="54"/>
  <c r="C2841" i="54"/>
  <c r="C2840" i="54"/>
  <c r="C2839" i="54"/>
  <c r="C2838" i="54"/>
  <c r="C2837" i="54"/>
  <c r="C2836" i="54"/>
  <c r="C2835" i="54"/>
  <c r="C2834" i="54"/>
  <c r="C2833" i="54"/>
  <c r="C2832" i="54"/>
  <c r="C2831" i="54"/>
  <c r="C2830" i="54"/>
  <c r="C2829" i="54"/>
  <c r="C2828" i="54"/>
  <c r="C2827" i="54"/>
  <c r="C2826" i="54"/>
  <c r="C2825" i="54"/>
  <c r="C2824" i="54"/>
  <c r="C2823" i="54"/>
  <c r="C2822" i="54"/>
  <c r="C2821" i="54"/>
  <c r="C2820" i="54"/>
  <c r="C2819" i="54"/>
  <c r="C2818" i="54"/>
  <c r="C2817" i="54"/>
  <c r="C2816" i="54"/>
  <c r="C2815" i="54"/>
  <c r="C2814" i="54"/>
  <c r="C2813" i="54"/>
  <c r="C2812" i="54"/>
  <c r="C2811" i="54"/>
  <c r="C2810" i="54"/>
  <c r="C2809" i="54"/>
  <c r="C2808" i="54"/>
  <c r="C2807" i="54"/>
  <c r="C2806" i="54"/>
  <c r="C2805" i="54"/>
  <c r="C2804" i="54"/>
  <c r="C2803" i="54"/>
  <c r="C2802" i="54"/>
  <c r="C2801" i="54"/>
  <c r="C2800" i="54"/>
  <c r="C2799" i="54"/>
  <c r="C2798" i="54"/>
  <c r="C2797" i="54"/>
  <c r="C2796" i="54"/>
  <c r="C2795" i="54"/>
  <c r="C2794" i="54"/>
  <c r="C2793" i="54"/>
  <c r="C2792" i="54"/>
  <c r="C2791" i="54"/>
  <c r="C2790" i="54"/>
  <c r="C2789" i="54"/>
  <c r="C2788" i="54"/>
  <c r="C2787" i="54"/>
  <c r="C2786" i="54"/>
  <c r="C2785" i="54"/>
  <c r="C2784" i="54"/>
  <c r="C2783" i="54"/>
  <c r="C2782" i="54"/>
  <c r="C2781" i="54"/>
  <c r="C2780" i="54"/>
  <c r="C2779" i="54"/>
  <c r="C2778" i="54"/>
  <c r="C2777" i="54"/>
  <c r="C2776" i="54"/>
  <c r="C2775" i="54"/>
  <c r="C2774" i="54"/>
  <c r="C2773" i="54"/>
  <c r="C2772" i="54"/>
  <c r="C2771" i="54"/>
  <c r="C2770" i="54"/>
  <c r="C2769" i="54"/>
  <c r="C2768" i="54"/>
  <c r="C2767" i="54"/>
  <c r="C2766" i="54"/>
  <c r="C2765" i="54"/>
  <c r="C2764" i="54"/>
  <c r="C2763" i="54"/>
  <c r="C2762" i="54"/>
  <c r="C2761" i="54"/>
  <c r="C2760" i="54"/>
  <c r="C2759" i="54"/>
  <c r="C2758" i="54"/>
  <c r="C2757" i="54"/>
  <c r="C2756" i="54"/>
  <c r="C2755" i="54"/>
  <c r="C2754" i="54"/>
  <c r="C2753" i="54"/>
  <c r="C2752" i="54"/>
  <c r="C2751" i="54"/>
  <c r="C2750" i="54"/>
  <c r="C2749" i="54"/>
  <c r="C2748" i="54"/>
  <c r="C2747" i="54"/>
  <c r="C2746" i="54"/>
  <c r="C2745" i="54"/>
  <c r="C2744" i="54"/>
  <c r="C2743" i="54"/>
  <c r="C2742" i="54"/>
  <c r="C2741" i="54"/>
  <c r="C2740" i="54"/>
  <c r="C2739" i="54"/>
  <c r="C2738" i="54"/>
  <c r="C2737" i="54"/>
  <c r="C2736" i="54"/>
  <c r="C2735" i="54"/>
  <c r="C2734" i="54"/>
  <c r="C2733" i="54"/>
  <c r="C2732" i="54"/>
  <c r="C2731" i="54"/>
  <c r="C2730" i="54"/>
  <c r="C2729" i="54"/>
  <c r="C2728" i="54"/>
  <c r="C2727" i="54"/>
  <c r="C2726" i="54"/>
  <c r="C2725" i="54"/>
  <c r="C2724" i="54"/>
  <c r="C2723" i="54"/>
  <c r="C2722" i="54"/>
  <c r="C2721" i="54"/>
  <c r="C2720" i="54"/>
  <c r="C2719" i="54"/>
  <c r="C2718" i="54"/>
  <c r="C2717" i="54"/>
  <c r="C2716" i="54"/>
  <c r="C2715" i="54"/>
  <c r="C2714" i="54"/>
  <c r="C2713" i="54"/>
  <c r="C2712" i="54"/>
  <c r="C2711" i="54"/>
  <c r="C2710" i="54"/>
  <c r="C2709" i="54"/>
  <c r="C2708" i="54"/>
  <c r="C2707" i="54"/>
  <c r="C2706" i="54"/>
  <c r="C2705" i="54"/>
  <c r="C2704" i="54"/>
  <c r="C2703" i="54"/>
  <c r="C2702" i="54"/>
  <c r="C2701" i="54"/>
  <c r="C2700" i="54"/>
  <c r="C2699" i="54"/>
  <c r="C2698" i="54"/>
  <c r="C2697" i="54"/>
  <c r="C2696" i="54"/>
  <c r="C2695" i="54"/>
  <c r="C2694" i="54"/>
  <c r="C2693" i="54"/>
  <c r="C2692" i="54"/>
  <c r="C2691" i="54"/>
  <c r="C2690" i="54"/>
  <c r="C2689" i="54"/>
  <c r="C2688" i="54"/>
  <c r="C2687" i="54"/>
  <c r="C2686" i="54"/>
  <c r="C2685" i="54"/>
  <c r="C2684" i="54"/>
  <c r="C2683" i="54"/>
  <c r="C2682" i="54"/>
  <c r="C2681" i="54"/>
  <c r="C2680" i="54"/>
  <c r="C2679" i="54"/>
  <c r="C2678" i="54"/>
  <c r="C2677" i="54"/>
  <c r="C2676" i="54"/>
  <c r="C2675" i="54"/>
  <c r="C2674" i="54"/>
  <c r="C2673" i="54"/>
  <c r="C2672" i="54"/>
  <c r="C2671" i="54"/>
  <c r="C2670" i="54"/>
  <c r="C2669" i="54"/>
  <c r="C2668" i="54"/>
  <c r="C2667" i="54"/>
  <c r="C2666" i="54"/>
  <c r="C2665" i="54"/>
  <c r="C2664" i="54"/>
  <c r="C2663" i="54"/>
  <c r="C2662" i="54"/>
  <c r="C2661" i="54"/>
  <c r="C2660" i="54"/>
  <c r="C2659" i="54"/>
  <c r="C2658" i="54"/>
  <c r="C2657" i="54"/>
  <c r="C2656" i="54"/>
  <c r="C2655" i="54"/>
  <c r="C2654" i="54"/>
  <c r="C2653" i="54"/>
  <c r="C2652" i="54"/>
  <c r="C2651" i="54"/>
  <c r="C2650" i="54"/>
  <c r="C2649" i="54"/>
  <c r="C2648" i="54"/>
  <c r="C2647" i="54"/>
  <c r="C2646" i="54"/>
  <c r="C2645" i="54"/>
  <c r="C2644" i="54"/>
  <c r="C2643" i="54"/>
  <c r="C2642" i="54"/>
  <c r="C2641" i="54"/>
  <c r="C2640" i="54"/>
  <c r="C2639" i="54"/>
  <c r="C2638" i="54"/>
  <c r="C2637" i="54"/>
  <c r="C2636" i="54"/>
  <c r="C2635" i="54"/>
  <c r="C2634" i="54"/>
  <c r="C2633" i="54"/>
  <c r="C2632" i="54"/>
  <c r="C2631" i="54"/>
  <c r="C2630" i="54"/>
  <c r="C2629" i="54"/>
  <c r="C2628" i="54"/>
  <c r="C2627" i="54"/>
  <c r="C2626" i="54"/>
  <c r="C2625" i="54"/>
  <c r="C2624" i="54"/>
  <c r="C2623" i="54"/>
  <c r="C2622" i="54"/>
  <c r="C2621" i="54"/>
  <c r="C2620" i="54"/>
  <c r="C2619" i="54"/>
  <c r="C2618" i="54"/>
  <c r="C2617" i="54"/>
  <c r="C2616" i="54"/>
  <c r="C2615" i="54"/>
  <c r="C2614" i="54"/>
  <c r="C2613" i="54"/>
  <c r="C2612" i="54"/>
  <c r="C2611" i="54"/>
  <c r="C2610" i="54"/>
  <c r="C2609" i="54"/>
  <c r="C2608" i="54"/>
  <c r="C2607" i="54"/>
  <c r="C2606" i="54"/>
  <c r="C2605" i="54"/>
  <c r="C2604" i="54"/>
  <c r="C2603" i="54"/>
  <c r="C2602" i="54"/>
  <c r="C2601" i="54"/>
  <c r="C2600" i="54"/>
  <c r="C2599" i="54"/>
  <c r="C2598" i="54"/>
  <c r="C2597" i="54"/>
  <c r="C2596" i="54"/>
  <c r="C2595" i="54"/>
  <c r="C2594" i="54"/>
  <c r="C2593" i="54"/>
  <c r="C2592" i="54"/>
  <c r="C2591" i="54"/>
  <c r="C2590" i="54"/>
  <c r="C2589" i="54"/>
  <c r="C2588" i="54"/>
  <c r="C2587" i="54"/>
  <c r="C2586" i="54"/>
  <c r="C2585" i="54"/>
  <c r="C2584" i="54"/>
  <c r="C2583" i="54"/>
  <c r="C2582" i="54"/>
  <c r="C2581" i="54"/>
  <c r="C2580" i="54"/>
  <c r="C2579" i="54"/>
  <c r="C2578" i="54"/>
  <c r="C2577" i="54"/>
  <c r="C2576" i="54"/>
  <c r="C2575" i="54"/>
  <c r="C2574" i="54"/>
  <c r="C2573" i="54"/>
  <c r="C2572" i="54"/>
  <c r="C2571" i="54"/>
  <c r="C2570" i="54"/>
  <c r="C2569" i="54"/>
  <c r="C2568" i="54"/>
  <c r="C2567" i="54"/>
  <c r="C2566" i="54"/>
  <c r="C2565" i="54"/>
  <c r="C2564" i="54"/>
  <c r="C2563" i="54"/>
  <c r="C2562" i="54"/>
  <c r="C2561" i="54"/>
  <c r="C2560" i="54"/>
  <c r="C2559" i="54"/>
  <c r="C2558" i="54"/>
  <c r="C2557" i="54"/>
  <c r="C2556" i="54"/>
  <c r="C2555" i="54"/>
  <c r="C2554" i="54"/>
  <c r="C2553" i="54"/>
  <c r="C2552" i="54"/>
  <c r="C2551" i="54"/>
  <c r="C2550" i="54"/>
  <c r="C2549" i="54"/>
  <c r="C2548" i="54"/>
  <c r="C2547" i="54"/>
  <c r="C2546" i="54"/>
  <c r="C2545" i="54"/>
  <c r="C2544" i="54"/>
  <c r="C2543" i="54"/>
  <c r="C2542" i="54"/>
  <c r="C2541" i="54"/>
  <c r="C2540" i="54"/>
  <c r="C2539" i="54"/>
  <c r="C2538" i="54"/>
  <c r="C2537" i="54"/>
  <c r="C2536" i="54"/>
  <c r="C2535" i="54"/>
  <c r="C2534" i="54"/>
  <c r="C2533" i="54"/>
  <c r="C2532" i="54"/>
  <c r="C2531" i="54"/>
  <c r="C2530" i="54"/>
  <c r="C2529" i="54"/>
  <c r="C2528" i="54"/>
  <c r="C2527" i="54"/>
  <c r="C2526" i="54"/>
  <c r="C2525" i="54"/>
  <c r="C2524" i="54"/>
  <c r="C2523" i="54"/>
  <c r="C2522" i="54"/>
  <c r="C2521" i="54"/>
  <c r="C2520" i="54"/>
  <c r="C2519" i="54"/>
  <c r="C2518" i="54"/>
  <c r="C2517" i="54"/>
  <c r="C2516" i="54"/>
  <c r="C2515" i="54"/>
  <c r="C2514" i="54"/>
  <c r="C2513" i="54"/>
  <c r="C2512" i="54"/>
  <c r="C2511" i="54"/>
  <c r="C2510" i="54"/>
  <c r="C2509" i="54"/>
  <c r="C2508" i="54"/>
  <c r="C2507" i="54"/>
  <c r="C2506" i="54"/>
  <c r="C2505" i="54"/>
  <c r="C2504" i="54"/>
  <c r="C2503" i="54"/>
  <c r="C2502" i="54"/>
  <c r="C2501" i="54"/>
  <c r="C2500" i="54"/>
  <c r="C2499" i="54"/>
  <c r="C2498" i="54"/>
  <c r="C2497" i="54"/>
  <c r="C2496" i="54"/>
  <c r="C2495" i="54"/>
  <c r="C2494" i="54"/>
  <c r="C2493" i="54"/>
  <c r="C2492" i="54"/>
  <c r="C2491" i="54"/>
  <c r="C2490" i="54"/>
  <c r="C2489" i="54"/>
  <c r="C2488" i="54"/>
  <c r="C2487" i="54"/>
  <c r="C2486" i="54"/>
  <c r="C2485" i="54"/>
  <c r="C2484" i="54"/>
  <c r="C2483" i="54"/>
  <c r="C2482" i="54"/>
  <c r="C2481" i="54"/>
  <c r="C2480" i="54"/>
  <c r="C2479" i="54"/>
  <c r="C2478" i="54"/>
  <c r="C2477" i="54"/>
  <c r="C2476" i="54"/>
  <c r="C2475" i="54"/>
  <c r="C2474" i="54"/>
  <c r="C2473" i="54"/>
  <c r="C2472" i="54"/>
  <c r="C2471" i="54"/>
  <c r="C2470" i="54"/>
  <c r="C2469" i="54"/>
  <c r="C2468" i="54"/>
  <c r="C2467" i="54"/>
  <c r="C2466" i="54"/>
  <c r="C2465" i="54"/>
  <c r="C2464" i="54"/>
  <c r="C2463" i="54"/>
  <c r="C2462" i="54"/>
  <c r="C2461" i="54"/>
  <c r="C2460" i="54"/>
  <c r="C2459" i="54"/>
  <c r="C2458" i="54"/>
  <c r="C2457" i="54"/>
  <c r="C2456" i="54"/>
  <c r="C2455" i="54"/>
  <c r="C2454" i="54"/>
  <c r="C2453" i="54"/>
  <c r="C2452" i="54"/>
  <c r="C2451" i="54"/>
  <c r="C2450" i="54"/>
  <c r="C2449" i="54"/>
  <c r="C2448" i="54"/>
  <c r="C2447" i="54"/>
  <c r="C2446" i="54"/>
  <c r="C2445" i="54"/>
  <c r="C2444" i="54"/>
  <c r="C2443" i="54"/>
  <c r="C2442" i="54"/>
  <c r="C2441" i="54"/>
  <c r="C2440" i="54"/>
  <c r="C2439" i="54"/>
  <c r="C2438" i="54"/>
  <c r="C2437" i="54"/>
  <c r="C2436" i="54"/>
  <c r="C2435" i="54"/>
  <c r="C2434" i="54"/>
  <c r="C2433" i="54"/>
  <c r="C2432" i="54"/>
  <c r="C2431" i="54"/>
  <c r="C2430" i="54"/>
  <c r="C2429" i="54"/>
  <c r="C2428" i="54"/>
  <c r="C2427" i="54"/>
  <c r="C2426" i="54"/>
  <c r="C2425" i="54"/>
  <c r="C2424" i="54"/>
  <c r="C2423" i="54"/>
  <c r="C2422" i="54"/>
  <c r="C2421" i="54"/>
  <c r="C2420" i="54"/>
  <c r="C2419" i="54"/>
  <c r="C2418" i="54"/>
  <c r="C2417" i="54"/>
  <c r="C2416" i="54"/>
  <c r="C2415" i="54"/>
  <c r="C2414" i="54"/>
  <c r="C2413" i="54"/>
  <c r="C2412" i="54"/>
  <c r="C2411" i="54"/>
  <c r="C2410" i="54"/>
  <c r="C2409" i="54"/>
  <c r="C2408" i="54"/>
  <c r="C2407" i="54"/>
  <c r="C2406" i="54"/>
  <c r="C2405" i="54"/>
  <c r="C2404" i="54"/>
  <c r="C2403" i="54"/>
  <c r="C2402" i="54"/>
  <c r="C2401" i="54"/>
  <c r="C2400" i="54"/>
  <c r="C2399" i="54"/>
  <c r="C2398" i="54"/>
  <c r="C2397" i="54"/>
  <c r="C2396" i="54"/>
  <c r="C2395" i="54"/>
  <c r="C2394" i="54"/>
  <c r="C2393" i="54"/>
  <c r="C2392" i="54"/>
  <c r="C2391" i="54"/>
  <c r="C2390" i="54"/>
  <c r="C2389" i="54"/>
  <c r="C2388" i="54"/>
  <c r="C2387" i="54"/>
  <c r="C2386" i="54"/>
  <c r="C2385" i="54"/>
  <c r="C2384" i="54"/>
  <c r="C2383" i="54"/>
  <c r="C2382" i="54"/>
  <c r="C2381" i="54"/>
  <c r="C2380" i="54"/>
  <c r="C2379" i="54"/>
  <c r="C2378" i="54"/>
  <c r="C2377" i="54"/>
  <c r="C2376" i="54"/>
  <c r="C2375" i="54"/>
  <c r="C2374" i="54"/>
  <c r="C2373" i="54"/>
  <c r="C2372" i="54"/>
  <c r="C2371" i="54"/>
  <c r="C2370" i="54"/>
  <c r="C2369" i="54"/>
  <c r="C2368" i="54"/>
  <c r="C2367" i="54"/>
  <c r="C2366" i="54"/>
  <c r="C2365" i="54"/>
  <c r="C2364" i="54"/>
  <c r="C2363" i="54"/>
  <c r="C2362" i="54"/>
  <c r="C2361" i="54"/>
  <c r="C2360" i="54"/>
  <c r="C2359" i="54"/>
  <c r="C2358" i="54"/>
  <c r="C2357" i="54"/>
  <c r="C2356" i="54"/>
  <c r="C2355" i="54"/>
  <c r="C2354" i="54"/>
  <c r="C2353" i="54"/>
  <c r="C2352" i="54"/>
  <c r="C2351" i="54"/>
  <c r="C2350" i="54"/>
  <c r="C2349" i="54"/>
  <c r="C2348" i="54"/>
  <c r="C2347" i="54"/>
  <c r="C2346" i="54"/>
  <c r="C2345" i="54"/>
  <c r="C2344" i="54"/>
  <c r="C2343" i="54"/>
  <c r="C2342" i="54"/>
  <c r="C2341" i="54"/>
  <c r="C2340" i="54"/>
  <c r="C2339" i="54"/>
  <c r="C2338" i="54"/>
  <c r="C2337" i="54"/>
  <c r="C2336" i="54"/>
  <c r="C2335" i="54"/>
  <c r="C2334" i="54"/>
  <c r="C2333" i="54"/>
  <c r="C2332" i="54"/>
  <c r="C2331" i="54"/>
  <c r="C2330" i="54"/>
  <c r="C2329" i="54"/>
  <c r="C2328" i="54"/>
  <c r="C2327" i="54"/>
  <c r="C2326" i="54"/>
  <c r="C2325" i="54"/>
  <c r="C2324" i="54"/>
  <c r="C2323" i="54"/>
  <c r="C2322" i="54"/>
  <c r="C2321" i="54"/>
  <c r="C2320" i="54"/>
  <c r="C2319" i="54"/>
  <c r="C2318" i="54"/>
  <c r="C2317" i="54"/>
  <c r="C2316" i="54"/>
  <c r="C2315" i="54"/>
  <c r="C2314" i="54"/>
  <c r="C2313" i="54"/>
  <c r="C2312" i="54"/>
  <c r="C2311" i="54"/>
  <c r="C2310" i="54"/>
  <c r="C2309" i="54"/>
  <c r="C2308" i="54"/>
  <c r="C2307" i="54"/>
  <c r="C2306" i="54"/>
  <c r="C2305" i="54"/>
  <c r="C2304" i="54"/>
  <c r="C2303" i="54"/>
  <c r="C2302" i="54"/>
  <c r="C2301" i="54"/>
  <c r="C2300" i="54"/>
  <c r="C2299" i="54"/>
  <c r="C2298" i="54"/>
  <c r="C2297" i="54"/>
  <c r="C2296" i="54"/>
  <c r="C2295" i="54"/>
  <c r="C2294" i="54"/>
  <c r="C2293" i="54"/>
  <c r="C2292" i="54"/>
  <c r="C2291" i="54"/>
  <c r="C2290" i="54"/>
  <c r="C2289" i="54"/>
  <c r="C2288" i="54"/>
  <c r="C2287" i="54"/>
  <c r="C2286" i="54"/>
  <c r="C2285" i="54"/>
  <c r="C2284" i="54"/>
  <c r="C2283" i="54"/>
  <c r="C2282" i="54"/>
  <c r="C2281" i="54"/>
  <c r="C2280" i="54"/>
  <c r="C2279" i="54"/>
  <c r="C2278" i="54"/>
  <c r="C2277" i="54"/>
  <c r="C2276" i="54"/>
  <c r="C2275" i="54"/>
  <c r="C2274" i="54"/>
  <c r="C2273" i="54"/>
  <c r="C2272" i="54"/>
  <c r="C2271" i="54"/>
  <c r="C2270" i="54"/>
  <c r="C2269" i="54"/>
  <c r="C2268" i="54"/>
  <c r="C2267" i="54"/>
  <c r="C2266" i="54"/>
  <c r="C2265" i="54"/>
  <c r="C2264" i="54"/>
  <c r="C2263" i="54"/>
  <c r="C2262" i="54"/>
  <c r="C2261" i="54"/>
  <c r="C2260" i="54"/>
  <c r="C2259" i="54"/>
  <c r="C2258" i="54"/>
  <c r="C2257" i="54"/>
  <c r="C2256" i="54"/>
  <c r="C2255" i="54"/>
  <c r="C2254" i="54"/>
  <c r="C2253" i="54"/>
  <c r="C2252" i="54"/>
  <c r="C2251" i="54"/>
  <c r="C2250" i="54"/>
  <c r="C2249" i="54"/>
  <c r="C2248" i="54"/>
  <c r="C2247" i="54"/>
  <c r="C2246" i="54"/>
  <c r="C2245" i="54"/>
  <c r="C2244" i="54"/>
  <c r="C2243" i="54"/>
  <c r="C2242" i="54"/>
  <c r="C2241" i="54"/>
  <c r="C2240" i="54"/>
  <c r="C2239" i="54"/>
  <c r="C2238" i="54"/>
  <c r="C2237" i="54"/>
  <c r="C2236" i="54"/>
  <c r="C2235" i="54"/>
  <c r="C2234" i="54"/>
  <c r="C2233" i="54"/>
  <c r="C2232" i="54"/>
  <c r="C2231" i="54"/>
  <c r="C2230" i="54"/>
  <c r="C2229" i="54"/>
  <c r="C2228" i="54"/>
  <c r="C2227" i="54"/>
  <c r="C2226" i="54"/>
  <c r="C2225" i="54"/>
  <c r="C2224" i="54"/>
  <c r="C2223" i="54"/>
  <c r="C2222" i="54"/>
  <c r="C2221" i="54"/>
  <c r="C2220" i="54"/>
  <c r="C2219" i="54"/>
  <c r="C2218" i="54"/>
  <c r="C2217" i="54"/>
  <c r="C2216" i="54"/>
  <c r="C2215" i="54"/>
  <c r="C2214" i="54"/>
  <c r="C2213" i="54"/>
  <c r="C2212" i="54"/>
  <c r="C2211" i="54"/>
  <c r="C2210" i="54"/>
  <c r="C2209" i="54"/>
  <c r="C2208" i="54"/>
  <c r="C2207" i="54"/>
  <c r="C2206" i="54"/>
  <c r="C2205" i="54"/>
  <c r="C2204" i="54"/>
  <c r="C2203" i="54"/>
  <c r="C2202" i="54"/>
  <c r="C2201" i="54"/>
  <c r="C2200" i="54"/>
  <c r="C2199" i="54"/>
  <c r="C2198" i="54"/>
  <c r="C2197" i="54"/>
  <c r="C2196" i="54"/>
  <c r="C2195" i="54"/>
  <c r="C2194" i="54"/>
  <c r="C2193" i="54"/>
  <c r="C2192" i="54"/>
  <c r="C2191" i="54"/>
  <c r="C2190" i="54"/>
  <c r="C2189" i="54"/>
  <c r="C2188" i="54"/>
  <c r="C2187" i="54"/>
  <c r="C2186" i="54"/>
  <c r="C2185" i="54"/>
  <c r="C2184" i="54"/>
  <c r="C2183" i="54"/>
  <c r="C2182" i="54"/>
  <c r="C2181" i="54"/>
  <c r="C2180" i="54"/>
  <c r="C2179" i="54"/>
  <c r="C2178" i="54"/>
  <c r="C2177" i="54"/>
  <c r="C2176" i="54"/>
  <c r="C2175" i="54"/>
  <c r="C2174" i="54"/>
  <c r="C2173" i="54"/>
  <c r="C2172" i="54"/>
  <c r="C2171" i="54"/>
  <c r="C2170" i="54"/>
  <c r="C2169" i="54"/>
  <c r="C2168" i="54"/>
  <c r="C2167" i="54"/>
  <c r="C2166" i="54"/>
  <c r="C2165" i="54"/>
  <c r="C2164" i="54"/>
  <c r="C2163" i="54"/>
  <c r="C2162" i="54"/>
  <c r="C2161" i="54"/>
  <c r="C2160" i="54"/>
  <c r="C2159" i="54"/>
  <c r="C2158" i="54"/>
  <c r="C2157" i="54"/>
  <c r="C2156" i="54"/>
  <c r="C2155" i="54"/>
  <c r="C2154" i="54"/>
  <c r="C2153" i="54"/>
  <c r="C2152" i="54"/>
  <c r="C2151" i="54"/>
  <c r="C2150" i="54"/>
  <c r="C2149" i="54"/>
  <c r="C2148" i="54"/>
  <c r="C2147" i="54"/>
  <c r="C2146" i="54"/>
  <c r="C2145" i="54"/>
  <c r="C2144" i="54"/>
  <c r="C2143" i="54"/>
  <c r="C2142" i="54"/>
  <c r="C2141" i="54"/>
  <c r="C2140" i="54"/>
  <c r="C2139" i="54"/>
  <c r="C2138" i="54"/>
  <c r="C2137" i="54"/>
  <c r="C2136" i="54"/>
  <c r="C2135" i="54"/>
  <c r="C2134" i="54"/>
  <c r="C2133" i="54"/>
  <c r="C2132" i="54"/>
  <c r="C2131" i="54"/>
  <c r="C2130" i="54"/>
  <c r="C2129" i="54"/>
  <c r="C2128" i="54"/>
  <c r="C2127" i="54"/>
  <c r="C2126" i="54"/>
  <c r="C2125" i="54"/>
  <c r="C2124" i="54"/>
  <c r="C2123" i="54"/>
  <c r="C2122" i="54"/>
  <c r="C2121" i="54"/>
  <c r="C2120" i="54"/>
  <c r="C2119" i="54"/>
  <c r="C2118" i="54"/>
  <c r="C2117" i="54"/>
  <c r="C2116" i="54"/>
  <c r="C2115" i="54"/>
  <c r="C2114" i="54"/>
  <c r="C2113" i="54"/>
  <c r="C2112" i="54"/>
  <c r="C2111" i="54"/>
  <c r="C2110" i="54"/>
  <c r="C2109" i="54"/>
  <c r="C2108" i="54"/>
  <c r="C2107" i="54"/>
  <c r="C2106" i="54"/>
  <c r="C2105" i="54"/>
  <c r="C2104" i="54"/>
  <c r="C2103" i="54"/>
  <c r="C2102" i="54"/>
  <c r="C2101" i="54"/>
  <c r="C2100" i="54"/>
  <c r="C2099" i="54"/>
  <c r="C2098" i="54"/>
  <c r="C2097" i="54"/>
  <c r="C2096" i="54"/>
  <c r="C2095" i="54"/>
  <c r="C2094" i="54"/>
  <c r="C2093" i="54"/>
  <c r="C2092" i="54"/>
  <c r="C2091" i="54"/>
  <c r="C2090" i="54"/>
  <c r="C2089" i="54"/>
  <c r="C2088" i="54"/>
  <c r="C2087" i="54"/>
  <c r="C2086" i="54"/>
  <c r="C2085" i="54"/>
  <c r="C2084" i="54"/>
  <c r="C2083" i="54"/>
  <c r="C2082" i="54"/>
  <c r="C2081" i="54"/>
  <c r="C2080" i="54"/>
  <c r="C2079" i="54"/>
  <c r="C2078" i="54"/>
  <c r="C2077" i="54"/>
  <c r="C2076" i="54"/>
  <c r="C2075" i="54"/>
  <c r="C2074" i="54"/>
  <c r="C2073" i="54"/>
  <c r="C2072" i="54"/>
  <c r="C2071" i="54"/>
  <c r="C2070" i="54"/>
  <c r="C2069" i="54"/>
  <c r="C2068" i="54"/>
  <c r="C2067" i="54"/>
  <c r="C2066" i="54"/>
  <c r="C2065" i="54"/>
  <c r="C2064" i="54"/>
  <c r="C2063" i="54"/>
  <c r="C2062" i="54"/>
  <c r="C2061" i="54"/>
  <c r="C2060" i="54"/>
  <c r="C2059" i="54"/>
  <c r="C2058" i="54"/>
  <c r="C2057" i="54"/>
  <c r="C2056" i="54"/>
  <c r="C2055" i="54"/>
  <c r="C2054" i="54"/>
  <c r="C2053" i="54"/>
  <c r="C2052" i="54"/>
  <c r="C2051" i="54"/>
  <c r="C2050" i="54"/>
  <c r="C2049" i="54"/>
  <c r="C2048" i="54"/>
  <c r="C2047" i="54"/>
  <c r="C2046" i="54"/>
  <c r="C2045" i="54"/>
  <c r="C2044" i="54"/>
  <c r="C2043" i="54"/>
  <c r="C2042" i="54"/>
  <c r="C2041" i="54"/>
  <c r="C2040" i="54"/>
  <c r="C2039" i="54"/>
  <c r="C2038" i="54"/>
  <c r="C2037" i="54"/>
  <c r="C2036" i="54"/>
  <c r="C2035" i="54"/>
  <c r="C2034" i="54"/>
  <c r="C2033" i="54"/>
  <c r="C2032" i="54"/>
  <c r="C2031" i="54"/>
  <c r="C2030" i="54"/>
  <c r="C2029" i="54"/>
  <c r="C2028" i="54"/>
  <c r="C2027" i="54"/>
  <c r="C2026" i="54"/>
  <c r="C2025" i="54"/>
  <c r="C2024" i="54"/>
  <c r="C2023" i="54"/>
  <c r="C2022" i="54"/>
  <c r="C2021" i="54"/>
  <c r="C2020" i="54"/>
  <c r="C2019" i="54"/>
  <c r="C2018" i="54"/>
  <c r="C2017" i="54"/>
  <c r="C2016" i="54"/>
  <c r="C2015" i="54"/>
  <c r="C2014" i="54"/>
  <c r="C2013" i="54"/>
  <c r="C2012" i="54"/>
  <c r="C2011" i="54"/>
  <c r="C2010" i="54"/>
  <c r="C2009" i="54"/>
  <c r="C2008" i="54"/>
  <c r="C2007" i="54"/>
  <c r="C2006" i="54"/>
  <c r="C2005" i="54"/>
  <c r="C2004" i="54"/>
  <c r="C2003" i="54"/>
  <c r="C2002" i="54"/>
  <c r="C2001" i="54"/>
  <c r="C2000" i="54"/>
  <c r="C1999" i="54"/>
  <c r="C1998" i="54"/>
  <c r="C1997" i="54"/>
  <c r="C1996" i="54"/>
  <c r="C1995" i="54"/>
  <c r="C1994" i="54"/>
  <c r="C1993" i="54"/>
  <c r="C1992" i="54"/>
  <c r="C1991" i="54"/>
  <c r="C1990" i="54"/>
  <c r="C1989" i="54"/>
  <c r="C1988" i="54"/>
  <c r="C1987" i="54"/>
  <c r="C1986" i="54"/>
  <c r="C1985" i="54"/>
  <c r="C1984" i="54"/>
  <c r="C1983" i="54"/>
  <c r="C1982" i="54"/>
  <c r="C1981" i="54"/>
  <c r="C1980" i="54"/>
  <c r="C1979" i="54"/>
  <c r="C1978" i="54"/>
  <c r="C1977" i="54"/>
  <c r="C1976" i="54"/>
  <c r="C1975" i="54"/>
  <c r="C1974" i="54"/>
  <c r="C1973" i="54"/>
  <c r="C1972" i="54"/>
  <c r="C1971" i="54"/>
  <c r="C1970" i="54"/>
  <c r="C1969" i="54"/>
  <c r="C1968" i="54"/>
  <c r="C1967" i="54"/>
  <c r="C1966" i="54"/>
  <c r="C1965" i="54"/>
  <c r="C1964" i="54"/>
  <c r="C1963" i="54"/>
  <c r="C1962" i="54"/>
  <c r="C1961" i="54"/>
  <c r="C1960" i="54"/>
  <c r="C1959" i="54"/>
  <c r="C1958" i="54"/>
  <c r="C1957" i="54"/>
  <c r="C1956" i="54"/>
  <c r="C1955" i="54"/>
  <c r="C1954" i="54"/>
  <c r="C1953" i="54"/>
  <c r="C1952" i="54"/>
  <c r="C1951" i="54"/>
  <c r="C1950" i="54"/>
  <c r="C1949" i="54"/>
  <c r="C1948" i="54"/>
  <c r="C1947" i="54"/>
  <c r="C1946" i="54"/>
  <c r="C1945" i="54"/>
  <c r="C1944" i="54"/>
  <c r="C1943" i="54"/>
  <c r="C1942" i="54"/>
  <c r="C1941" i="54"/>
  <c r="C1940" i="54"/>
  <c r="C1939" i="54"/>
  <c r="C1938" i="54"/>
  <c r="C1937" i="54"/>
  <c r="C1936" i="54"/>
  <c r="C1935" i="54"/>
  <c r="C1934" i="54"/>
  <c r="C1933" i="54"/>
  <c r="C1932" i="54"/>
  <c r="C1931" i="54"/>
  <c r="C1930" i="54"/>
  <c r="C1929" i="54"/>
  <c r="C1928" i="54"/>
  <c r="C1927" i="54"/>
  <c r="C1926" i="54"/>
  <c r="C1925" i="54"/>
  <c r="C1924" i="54"/>
  <c r="C1923" i="54"/>
  <c r="C1922" i="54"/>
  <c r="C1921" i="54"/>
  <c r="C1920" i="54"/>
  <c r="C1919" i="54"/>
  <c r="C1918" i="54"/>
  <c r="C1917" i="54"/>
  <c r="C1916" i="54"/>
  <c r="C1915" i="54"/>
  <c r="C1914" i="54"/>
  <c r="C1913" i="54"/>
  <c r="C1912" i="54"/>
  <c r="C1911" i="54"/>
  <c r="C1910" i="54"/>
  <c r="C1909" i="54"/>
  <c r="C1908" i="54"/>
  <c r="C1907" i="54"/>
  <c r="C1906" i="54"/>
  <c r="C1905" i="54"/>
  <c r="C1904" i="54"/>
  <c r="C1903" i="54"/>
  <c r="C1902" i="54"/>
  <c r="C1901" i="54"/>
  <c r="C1900" i="54"/>
  <c r="C1899" i="54"/>
  <c r="C1898" i="54"/>
  <c r="C1897" i="54"/>
  <c r="C1896" i="54"/>
  <c r="C1895" i="54"/>
  <c r="C1894" i="54"/>
  <c r="C1893" i="54"/>
  <c r="C1892" i="54"/>
  <c r="C1891" i="54"/>
  <c r="C1890" i="54"/>
  <c r="C1889" i="54"/>
  <c r="C1888" i="54"/>
  <c r="C1887" i="54"/>
  <c r="C1886" i="54"/>
  <c r="C1885" i="54"/>
  <c r="C1884" i="54"/>
  <c r="C1883" i="54"/>
  <c r="C1882" i="54"/>
  <c r="C1881" i="54"/>
  <c r="C1880" i="54"/>
  <c r="C1879" i="54"/>
  <c r="C1878" i="54"/>
  <c r="C1877" i="54"/>
  <c r="C1876" i="54"/>
  <c r="C1875" i="54"/>
  <c r="C1874" i="54"/>
  <c r="C1873" i="54"/>
  <c r="C1872" i="54"/>
  <c r="C1871" i="54"/>
  <c r="C1870" i="54"/>
  <c r="C1869" i="54"/>
  <c r="C1868" i="54"/>
  <c r="C1867" i="54"/>
  <c r="C1866" i="54"/>
  <c r="C1865" i="54"/>
  <c r="C1864" i="54"/>
  <c r="C1863" i="54"/>
  <c r="C1862" i="54"/>
  <c r="C1861" i="54"/>
  <c r="C1860" i="54"/>
  <c r="C1859" i="54"/>
  <c r="C1858" i="54"/>
  <c r="C1857" i="54"/>
  <c r="C1856" i="54"/>
  <c r="C1855" i="54"/>
  <c r="C1854" i="54"/>
  <c r="C1853" i="54"/>
  <c r="C1852" i="54"/>
  <c r="C1851" i="54"/>
  <c r="C1850" i="54"/>
  <c r="C1849" i="54"/>
  <c r="C1848" i="54"/>
  <c r="C1847" i="54"/>
  <c r="C1846" i="54"/>
  <c r="C1845" i="54"/>
  <c r="C1844" i="54"/>
  <c r="C1843" i="54"/>
  <c r="C1842" i="54"/>
  <c r="C1841" i="54"/>
  <c r="C1840" i="54"/>
  <c r="C1839" i="54"/>
  <c r="C1838" i="54"/>
  <c r="C1837" i="54"/>
  <c r="C1836" i="54"/>
  <c r="C1835" i="54"/>
  <c r="C1834" i="54"/>
  <c r="C1833" i="54"/>
  <c r="C1832" i="54"/>
  <c r="C1831" i="54"/>
  <c r="C1830" i="54"/>
  <c r="C1829" i="54"/>
  <c r="C1828" i="54"/>
  <c r="C1827" i="54"/>
  <c r="C1826" i="54"/>
  <c r="C1825" i="54"/>
  <c r="C1824" i="54"/>
  <c r="C1823" i="54"/>
  <c r="C1822" i="54"/>
  <c r="C1821" i="54"/>
  <c r="C1820" i="54"/>
  <c r="C1819" i="54"/>
  <c r="C1818" i="54"/>
  <c r="C1817" i="54"/>
  <c r="C1816" i="54"/>
  <c r="C1815" i="54"/>
  <c r="C1814" i="54"/>
  <c r="C1813" i="54"/>
  <c r="C1812" i="54"/>
  <c r="C1811" i="54"/>
  <c r="C1810" i="54"/>
  <c r="C1809" i="54"/>
  <c r="C1808" i="54"/>
  <c r="C1807" i="54"/>
  <c r="C1806" i="54"/>
  <c r="C1805" i="54"/>
  <c r="C1804" i="54"/>
  <c r="C1803" i="54"/>
  <c r="C1802" i="54"/>
  <c r="C1801" i="54"/>
  <c r="C1800" i="54"/>
  <c r="C1799" i="54"/>
  <c r="C1798" i="54"/>
  <c r="C1797" i="54"/>
  <c r="C1796" i="54"/>
  <c r="C1795" i="54"/>
  <c r="C1794" i="54"/>
  <c r="C1793" i="54"/>
  <c r="C1792" i="54"/>
  <c r="C1791" i="54"/>
  <c r="C1790" i="54"/>
  <c r="C1789" i="54"/>
  <c r="C1788" i="54"/>
  <c r="C1787" i="54"/>
  <c r="C1786" i="54"/>
  <c r="C1785" i="54"/>
  <c r="C1784" i="54"/>
  <c r="C1783" i="54"/>
  <c r="C1782" i="54"/>
  <c r="C1781" i="54"/>
  <c r="C1780" i="54"/>
  <c r="C1779" i="54"/>
  <c r="C1778" i="54"/>
  <c r="C1777" i="54"/>
  <c r="C1776" i="54"/>
  <c r="C1775" i="54"/>
  <c r="C1774" i="54"/>
  <c r="C1773" i="54"/>
  <c r="C1772" i="54"/>
  <c r="C1771" i="54"/>
  <c r="C1770" i="54"/>
  <c r="C1769" i="54"/>
  <c r="C1768" i="54"/>
  <c r="C1767" i="54"/>
  <c r="C1766" i="54"/>
  <c r="C1765" i="54"/>
  <c r="C1764" i="54"/>
  <c r="C1763" i="54"/>
  <c r="C1762" i="54"/>
  <c r="C1761" i="54"/>
  <c r="C1760" i="54"/>
  <c r="C1759" i="54"/>
  <c r="C1758" i="54"/>
  <c r="C1757" i="54"/>
  <c r="C1756" i="54"/>
  <c r="C1755" i="54"/>
  <c r="C1754" i="54"/>
  <c r="C1753" i="54"/>
  <c r="C1752" i="54"/>
  <c r="C1751" i="54"/>
  <c r="C1750" i="54"/>
  <c r="C1749" i="54"/>
  <c r="C1748" i="54"/>
  <c r="C1747" i="54"/>
  <c r="C1746" i="54"/>
  <c r="C1745" i="54"/>
  <c r="C1744" i="54"/>
  <c r="C1743" i="54"/>
  <c r="C1742" i="54"/>
  <c r="C1741" i="54"/>
  <c r="C1740" i="54"/>
  <c r="C1739" i="54"/>
  <c r="C1738" i="54"/>
  <c r="C1737" i="54"/>
  <c r="C1736" i="54"/>
  <c r="C1735" i="54"/>
  <c r="C1734" i="54"/>
  <c r="C1733" i="54"/>
  <c r="C1732" i="54"/>
  <c r="C1731" i="54"/>
  <c r="C1730" i="54"/>
  <c r="C1729" i="54"/>
  <c r="C1728" i="54"/>
  <c r="C1727" i="54"/>
  <c r="C1726" i="54"/>
  <c r="C1725" i="54"/>
  <c r="C1724" i="54"/>
  <c r="C1723" i="54"/>
  <c r="C1722" i="54"/>
  <c r="C1721" i="54"/>
  <c r="C1720" i="54"/>
  <c r="C1719" i="54"/>
  <c r="C1718" i="54"/>
  <c r="C1717" i="54"/>
  <c r="C1716" i="54"/>
  <c r="C1715" i="54"/>
  <c r="C1714" i="54"/>
  <c r="C1713" i="54"/>
  <c r="C1712" i="54"/>
  <c r="C1711" i="54"/>
  <c r="C1710" i="54"/>
  <c r="C1709" i="54"/>
  <c r="C1708" i="54"/>
  <c r="C1707" i="54"/>
  <c r="C1706" i="54"/>
  <c r="C1705" i="54"/>
  <c r="C1704" i="54"/>
  <c r="C1703" i="54"/>
  <c r="C1702" i="54"/>
  <c r="C1701" i="54"/>
  <c r="C1700" i="54"/>
  <c r="C1699" i="54"/>
  <c r="C1698" i="54"/>
  <c r="C1697" i="54"/>
  <c r="C1696" i="54"/>
  <c r="C1695" i="54"/>
  <c r="C1694" i="54"/>
  <c r="C1693" i="54"/>
  <c r="C1692" i="54"/>
  <c r="C1691" i="54"/>
  <c r="C1690" i="54"/>
  <c r="C1689" i="54"/>
  <c r="C1688" i="54"/>
  <c r="C1687" i="54"/>
  <c r="C1686" i="54"/>
  <c r="C1685" i="54"/>
  <c r="C1684" i="54"/>
  <c r="C1683" i="54"/>
  <c r="C1682" i="54"/>
  <c r="C1681" i="54"/>
  <c r="C1680" i="54"/>
  <c r="C1679" i="54"/>
  <c r="C1678" i="54"/>
  <c r="C1677" i="54"/>
  <c r="C1676" i="54"/>
  <c r="C1675" i="54"/>
  <c r="C1674" i="54"/>
  <c r="C1673" i="54"/>
  <c r="C1672" i="54"/>
  <c r="C1671" i="54"/>
  <c r="C1670" i="54"/>
  <c r="C1669" i="54"/>
  <c r="C1668" i="54"/>
  <c r="C1667" i="54"/>
  <c r="C1666" i="54"/>
  <c r="C1665" i="54"/>
  <c r="C1664" i="54"/>
  <c r="C1663" i="54"/>
  <c r="C1662" i="54"/>
  <c r="C1661" i="54"/>
  <c r="C1660" i="54"/>
  <c r="C1659" i="54"/>
  <c r="C1658" i="54"/>
  <c r="C1657" i="54"/>
  <c r="C1656" i="54"/>
  <c r="C1655" i="54"/>
  <c r="C1654" i="54"/>
  <c r="C1653" i="54"/>
  <c r="C1652" i="54"/>
  <c r="C1651" i="54"/>
  <c r="C1650" i="54"/>
  <c r="C1649" i="54"/>
  <c r="C1648" i="54"/>
  <c r="C1647" i="54"/>
  <c r="C1646" i="54"/>
  <c r="C1645" i="54"/>
  <c r="C1644" i="54"/>
  <c r="C1643" i="54"/>
  <c r="C1642" i="54"/>
  <c r="C1641" i="54"/>
  <c r="C1640" i="54"/>
  <c r="C1639" i="54"/>
  <c r="C1638" i="54"/>
  <c r="C1637" i="54"/>
  <c r="C1636" i="54"/>
  <c r="C1635" i="54"/>
  <c r="C1634" i="54"/>
  <c r="C1633" i="54"/>
  <c r="C1632" i="54"/>
  <c r="C1631" i="54"/>
  <c r="C1630" i="54"/>
  <c r="C1629" i="54"/>
  <c r="C1628" i="54"/>
  <c r="C1627" i="54"/>
  <c r="C1626" i="54"/>
  <c r="C1625" i="54"/>
  <c r="C1624" i="54"/>
  <c r="C1623" i="54"/>
  <c r="C1622" i="54"/>
  <c r="C1621" i="54"/>
  <c r="C1620" i="54"/>
  <c r="C1619" i="54"/>
  <c r="C1618" i="54"/>
  <c r="C1617" i="54"/>
  <c r="C1616" i="54"/>
  <c r="C1615" i="54"/>
  <c r="C1614" i="54"/>
  <c r="C1613" i="54"/>
  <c r="C1612" i="54"/>
  <c r="C1611" i="54"/>
  <c r="C1610" i="54"/>
  <c r="C1609" i="54"/>
  <c r="C1608" i="54"/>
  <c r="C1607" i="54"/>
  <c r="C1606" i="54"/>
  <c r="C1605" i="54"/>
  <c r="C1604" i="54"/>
  <c r="C1603" i="54"/>
  <c r="C1602" i="54"/>
  <c r="C1601" i="54"/>
  <c r="C1600" i="54"/>
  <c r="C1599" i="54"/>
  <c r="C1598" i="54"/>
  <c r="C1597" i="54"/>
  <c r="C1596" i="54"/>
  <c r="C1595" i="54"/>
  <c r="C1594" i="54"/>
  <c r="C1593" i="54"/>
  <c r="C1592" i="54"/>
  <c r="C1591" i="54"/>
  <c r="C1590" i="54"/>
  <c r="C1589" i="54"/>
  <c r="C1588" i="54"/>
  <c r="C1587" i="54"/>
  <c r="C1586" i="54"/>
  <c r="C1585" i="54"/>
  <c r="C1584" i="54"/>
  <c r="C1583" i="54"/>
  <c r="C1582" i="54"/>
  <c r="C1581" i="54"/>
  <c r="C1580" i="54"/>
  <c r="C1579" i="54"/>
  <c r="C1578" i="54"/>
  <c r="C1577" i="54"/>
  <c r="C1576" i="54"/>
  <c r="C1575" i="54"/>
  <c r="C1574" i="54"/>
  <c r="C1573" i="54"/>
  <c r="C1572" i="54"/>
  <c r="C1571" i="54"/>
  <c r="C1570" i="54"/>
  <c r="C1569" i="54"/>
  <c r="C1568" i="54"/>
  <c r="C1567" i="54"/>
  <c r="C1566" i="54"/>
  <c r="C1565" i="54"/>
  <c r="C1564" i="54"/>
  <c r="C1563" i="54"/>
  <c r="C1562" i="54"/>
  <c r="C1561" i="54"/>
  <c r="C1560" i="54"/>
  <c r="C1559" i="54"/>
  <c r="C1558" i="54"/>
  <c r="C1557" i="54"/>
  <c r="C1556" i="54"/>
  <c r="C1555" i="54"/>
  <c r="C1554" i="54"/>
  <c r="C1553" i="54"/>
  <c r="C1552" i="54"/>
  <c r="C1551" i="54"/>
  <c r="C1550" i="54"/>
  <c r="C1549" i="54"/>
  <c r="C1548" i="54"/>
  <c r="C1547" i="54"/>
  <c r="C1546" i="54"/>
  <c r="C1545" i="54"/>
  <c r="C1544" i="54"/>
  <c r="C1543" i="54"/>
  <c r="C1542" i="54"/>
  <c r="C1541" i="54"/>
  <c r="C1540" i="54"/>
  <c r="C1539" i="54"/>
  <c r="C1538" i="54"/>
  <c r="C1537" i="54"/>
  <c r="C1536" i="54"/>
  <c r="C1535" i="54"/>
  <c r="C1534" i="54"/>
  <c r="C1533" i="54"/>
  <c r="C1532" i="54"/>
  <c r="C1531" i="54"/>
  <c r="C1530" i="54"/>
  <c r="C1529" i="54"/>
  <c r="C1528" i="54"/>
  <c r="C1527" i="54"/>
  <c r="C1526" i="54"/>
  <c r="C1525" i="54"/>
  <c r="C1524" i="54"/>
  <c r="C1523" i="54"/>
  <c r="C1522" i="54"/>
  <c r="C1521" i="54"/>
  <c r="C1520" i="54"/>
  <c r="C1519" i="54"/>
  <c r="C1518" i="54"/>
  <c r="C1517" i="54"/>
  <c r="C1516" i="54"/>
  <c r="C1515" i="54"/>
  <c r="C1514" i="54"/>
  <c r="C1513" i="54"/>
  <c r="C1512" i="54"/>
  <c r="C1511" i="54"/>
  <c r="C1510" i="54"/>
  <c r="C1509" i="54"/>
  <c r="C1508" i="54"/>
  <c r="C1507" i="54"/>
  <c r="C1506" i="54"/>
  <c r="C1505" i="54"/>
  <c r="C1504" i="54"/>
  <c r="C1503" i="54"/>
  <c r="C1502" i="54"/>
  <c r="C1501" i="54"/>
  <c r="C1500" i="54"/>
  <c r="C1499" i="54"/>
  <c r="C1498" i="54"/>
  <c r="C1497" i="54"/>
  <c r="C1496" i="54"/>
  <c r="C1495" i="54"/>
  <c r="C1494" i="54"/>
  <c r="C1493" i="54"/>
  <c r="C1492" i="54"/>
  <c r="C1491" i="54"/>
  <c r="C1490" i="54"/>
  <c r="C1489" i="54"/>
  <c r="C1488" i="54"/>
  <c r="C1487" i="54"/>
  <c r="C1486" i="54"/>
  <c r="C1485" i="54"/>
  <c r="C1484" i="54"/>
  <c r="C1483" i="54"/>
  <c r="C1482" i="54"/>
  <c r="C1481" i="54"/>
  <c r="C1480" i="54"/>
  <c r="C1479" i="54"/>
  <c r="C1478" i="54"/>
  <c r="C1477" i="54"/>
  <c r="C1476" i="54"/>
  <c r="C1475" i="54"/>
  <c r="C1474" i="54"/>
  <c r="C1473" i="54"/>
  <c r="C1472" i="54"/>
  <c r="C1471" i="54"/>
  <c r="C1470" i="54"/>
  <c r="C1469" i="54"/>
  <c r="C1468" i="54"/>
  <c r="C1467" i="54"/>
  <c r="C1466" i="54"/>
  <c r="C1465" i="54"/>
  <c r="C1464" i="54"/>
  <c r="C1463" i="54"/>
  <c r="C1462" i="54"/>
  <c r="C1461" i="54"/>
  <c r="C1460" i="54"/>
  <c r="C1459" i="54"/>
  <c r="C1458" i="54"/>
  <c r="C1457" i="54"/>
  <c r="C1456" i="54"/>
  <c r="C1455" i="54"/>
  <c r="C1454" i="54"/>
  <c r="C1453" i="54"/>
  <c r="C1452" i="54"/>
  <c r="C1451" i="54"/>
  <c r="C1450" i="54"/>
  <c r="C1449" i="54"/>
  <c r="C1448" i="54"/>
  <c r="C1447" i="54"/>
  <c r="C1446" i="54"/>
  <c r="C1445" i="54"/>
  <c r="C1444" i="54"/>
  <c r="C1443" i="54"/>
  <c r="C1442" i="54"/>
  <c r="C1441" i="54"/>
  <c r="C1440" i="54"/>
  <c r="C1439" i="54"/>
  <c r="C1438" i="54"/>
  <c r="C1437" i="54"/>
  <c r="C1436" i="54"/>
  <c r="C1435" i="54"/>
  <c r="C1434" i="54"/>
  <c r="C1433" i="54"/>
  <c r="C1432" i="54"/>
  <c r="C1431" i="54"/>
  <c r="C1430" i="54"/>
  <c r="C1429" i="54"/>
  <c r="C1428" i="54"/>
  <c r="C1427" i="54"/>
  <c r="C1426" i="54"/>
  <c r="C1425" i="54"/>
  <c r="C1424" i="54"/>
  <c r="C1423" i="54"/>
  <c r="C1422" i="54"/>
  <c r="C1421" i="54"/>
  <c r="C1420" i="54"/>
  <c r="C1419" i="54"/>
  <c r="C1418" i="54"/>
  <c r="C1417" i="54"/>
  <c r="C1416" i="54"/>
  <c r="C1415" i="54"/>
  <c r="C1414" i="54"/>
  <c r="C1413" i="54"/>
  <c r="C1412" i="54"/>
  <c r="C1411" i="54"/>
  <c r="C1410" i="54"/>
  <c r="C1409" i="54"/>
  <c r="C1408" i="54"/>
  <c r="C1407" i="54"/>
  <c r="C1406" i="54"/>
  <c r="C1405" i="54"/>
  <c r="C1404" i="54"/>
  <c r="C1403" i="54"/>
  <c r="C1402" i="54"/>
  <c r="C1401" i="54"/>
  <c r="C1400" i="54"/>
  <c r="C1399" i="54"/>
  <c r="C1398" i="54"/>
  <c r="C1397" i="54"/>
  <c r="C1396" i="54"/>
  <c r="C1395" i="54"/>
  <c r="C1394" i="54"/>
  <c r="C1393" i="54"/>
  <c r="C1392" i="54"/>
  <c r="C1391" i="54"/>
  <c r="C1390" i="54"/>
  <c r="C1389" i="54"/>
  <c r="C1388" i="54"/>
  <c r="C1387" i="54"/>
  <c r="C1386" i="54"/>
  <c r="C1385" i="54"/>
  <c r="C1384" i="54"/>
  <c r="C1383" i="54"/>
  <c r="C1382" i="54"/>
  <c r="C1381" i="54"/>
  <c r="C1380" i="54"/>
  <c r="C1379" i="54"/>
  <c r="C1378" i="54"/>
  <c r="C1377" i="54"/>
  <c r="C1376" i="54"/>
  <c r="C1375" i="54"/>
  <c r="C1374" i="54"/>
  <c r="C1373" i="54"/>
  <c r="C1372" i="54"/>
  <c r="C1371" i="54"/>
  <c r="C1370" i="54"/>
  <c r="C1369" i="54"/>
  <c r="C1368" i="54"/>
  <c r="C1367" i="54"/>
  <c r="C1366" i="54"/>
  <c r="C1365" i="54"/>
  <c r="C1364" i="54"/>
  <c r="C1363" i="54"/>
  <c r="C1362" i="54"/>
  <c r="C1361" i="54"/>
  <c r="C1360" i="54"/>
  <c r="C1359" i="54"/>
  <c r="C1358" i="54"/>
  <c r="C1357" i="54"/>
  <c r="C1356" i="54"/>
  <c r="C1355" i="54"/>
  <c r="C1354" i="54"/>
  <c r="C1353" i="54"/>
  <c r="C1352" i="54"/>
  <c r="C1351" i="54"/>
  <c r="C1350" i="54"/>
  <c r="C1349" i="54"/>
  <c r="C1348" i="54"/>
  <c r="C1347" i="54"/>
  <c r="C1346" i="54"/>
  <c r="C1345" i="54"/>
  <c r="C1344" i="54"/>
  <c r="C1343" i="54"/>
  <c r="C1342" i="54"/>
  <c r="C1341" i="54"/>
  <c r="C1340" i="54"/>
  <c r="C1339" i="54"/>
  <c r="C1338" i="54"/>
  <c r="C1337" i="54"/>
  <c r="C1336" i="54"/>
  <c r="C1335" i="54"/>
  <c r="C1334" i="54"/>
  <c r="C1333" i="54"/>
  <c r="C1332" i="54"/>
  <c r="C1331" i="54"/>
  <c r="C1330" i="54"/>
  <c r="C1329" i="54"/>
  <c r="C1328" i="54"/>
  <c r="C1327" i="54"/>
  <c r="C1326" i="54"/>
  <c r="C1325" i="54"/>
  <c r="C1324" i="54"/>
  <c r="C1323" i="54"/>
  <c r="C1322" i="54"/>
  <c r="C1321" i="54"/>
  <c r="C1320" i="54"/>
  <c r="C1319" i="54"/>
  <c r="C1318" i="54"/>
  <c r="C1317" i="54"/>
  <c r="C1316" i="54"/>
  <c r="C1315" i="54"/>
  <c r="C1314" i="54"/>
  <c r="C1313" i="54"/>
  <c r="C1312" i="54"/>
  <c r="C1311" i="54"/>
  <c r="C1310" i="54"/>
  <c r="C1309" i="54"/>
  <c r="C1308" i="54"/>
  <c r="C1307" i="54"/>
  <c r="C1306" i="54"/>
  <c r="C1305" i="54"/>
  <c r="C1304" i="54"/>
  <c r="C1303" i="54"/>
  <c r="C1302" i="54"/>
  <c r="C1301" i="54"/>
  <c r="C1300" i="54"/>
  <c r="C1299" i="54"/>
  <c r="C1298" i="54"/>
  <c r="C1297" i="54"/>
  <c r="C1296" i="54"/>
  <c r="C1295" i="54"/>
  <c r="C1294" i="54"/>
  <c r="C1293" i="54"/>
  <c r="C1292" i="54"/>
  <c r="C1291" i="54"/>
  <c r="C1290" i="54"/>
  <c r="C1289" i="54"/>
  <c r="C1288" i="54"/>
  <c r="C1287" i="54"/>
  <c r="C1286" i="54"/>
  <c r="C1285" i="54"/>
  <c r="C1284" i="54"/>
  <c r="C1283" i="54"/>
  <c r="C1282" i="54"/>
  <c r="C1281" i="54"/>
  <c r="C1280" i="54"/>
  <c r="C1279" i="54"/>
  <c r="C1278" i="54"/>
  <c r="C1277" i="54"/>
  <c r="C1276" i="54"/>
  <c r="C1275" i="54"/>
  <c r="C1274" i="54"/>
  <c r="C1273" i="54"/>
  <c r="C1272" i="54"/>
  <c r="C1271" i="54"/>
  <c r="C1270" i="54"/>
  <c r="C1269" i="54"/>
  <c r="C1268" i="54"/>
  <c r="C1267" i="54"/>
  <c r="C1266" i="54"/>
  <c r="C1265" i="54"/>
  <c r="C1264" i="54"/>
  <c r="C1263" i="54"/>
  <c r="C1262" i="54"/>
  <c r="C1261" i="54"/>
  <c r="C1260" i="54"/>
  <c r="C1259" i="54"/>
  <c r="C1258" i="54"/>
  <c r="C1257" i="54"/>
  <c r="C1256" i="54"/>
  <c r="C1255" i="54"/>
  <c r="C1254" i="54"/>
  <c r="C1253" i="54"/>
  <c r="C1252" i="54"/>
  <c r="C1251" i="54"/>
  <c r="C1250" i="54"/>
  <c r="C1249" i="54"/>
  <c r="C1248" i="54"/>
  <c r="C1247" i="54"/>
  <c r="C1246" i="54"/>
  <c r="C1245" i="54"/>
  <c r="C1244" i="54"/>
  <c r="C1243" i="54"/>
  <c r="C1242" i="54"/>
  <c r="C1241" i="54"/>
  <c r="C1240" i="54"/>
  <c r="C1239" i="54"/>
  <c r="C1238" i="54"/>
  <c r="C1237" i="54"/>
  <c r="C1236" i="54"/>
  <c r="C1235" i="54"/>
  <c r="C1234" i="54"/>
  <c r="C1233" i="54"/>
  <c r="C1232" i="54"/>
  <c r="C1231" i="54"/>
  <c r="C1230" i="54"/>
  <c r="C1229" i="54"/>
  <c r="C1228" i="54"/>
  <c r="C1227" i="54"/>
  <c r="C1226" i="54"/>
  <c r="C1225" i="54"/>
  <c r="C1224" i="54"/>
  <c r="C1223" i="54"/>
  <c r="C1222" i="54"/>
  <c r="C1221" i="54"/>
  <c r="C1220" i="54"/>
  <c r="C1219" i="54"/>
  <c r="C1218" i="54"/>
  <c r="C1217" i="54"/>
  <c r="C1216" i="54"/>
  <c r="C1215" i="54"/>
  <c r="C1214" i="54"/>
  <c r="C1213" i="54"/>
  <c r="C1212" i="54"/>
  <c r="C1211" i="54"/>
  <c r="C1210" i="54"/>
  <c r="C1209" i="54"/>
  <c r="C1208" i="54"/>
  <c r="C1207" i="54"/>
  <c r="C1206" i="54"/>
  <c r="C1205" i="54"/>
  <c r="C1204" i="54"/>
  <c r="C1203" i="54"/>
  <c r="C1202" i="54"/>
  <c r="C1201" i="54"/>
  <c r="C1200" i="54"/>
  <c r="C1199" i="54"/>
  <c r="C1198" i="54"/>
  <c r="C1197" i="54"/>
  <c r="C1196" i="54"/>
  <c r="C1195" i="54"/>
  <c r="C1194" i="54"/>
  <c r="C1193" i="54"/>
  <c r="C1192" i="54"/>
  <c r="C1191" i="54"/>
  <c r="C1190" i="54"/>
  <c r="C1189" i="54"/>
  <c r="C1188" i="54"/>
  <c r="C1187" i="54"/>
  <c r="C1186" i="54"/>
  <c r="C1185" i="54"/>
  <c r="C1184" i="54"/>
  <c r="C1183" i="54"/>
  <c r="C1182" i="54"/>
  <c r="C1181" i="54"/>
  <c r="C1180" i="54"/>
  <c r="C1179" i="54"/>
  <c r="C1178" i="54"/>
  <c r="C1177" i="54"/>
  <c r="C1176" i="54"/>
  <c r="C1175" i="54"/>
  <c r="C1174" i="54"/>
  <c r="C1173" i="54"/>
  <c r="C1172" i="54"/>
  <c r="C1171" i="54"/>
  <c r="C1170" i="54"/>
  <c r="C1169" i="54"/>
  <c r="C1168" i="54"/>
  <c r="C1167" i="54"/>
  <c r="C1166" i="54"/>
  <c r="C1165" i="54"/>
  <c r="C1164" i="54"/>
  <c r="C1163" i="54"/>
  <c r="C1162" i="54"/>
  <c r="C1161" i="54"/>
  <c r="C1160" i="54"/>
  <c r="C1159" i="54"/>
  <c r="C1158" i="54"/>
  <c r="C1157" i="54"/>
  <c r="C1156" i="54"/>
  <c r="C1155" i="54"/>
  <c r="C1154" i="54"/>
  <c r="C1153" i="54"/>
  <c r="C1152" i="54"/>
  <c r="C1151" i="54"/>
  <c r="C1150" i="54"/>
  <c r="C1149" i="54"/>
  <c r="C1148" i="54"/>
  <c r="C1147" i="54"/>
  <c r="C1146" i="54"/>
  <c r="C1145" i="54"/>
  <c r="C1144" i="54"/>
  <c r="C1143" i="54"/>
  <c r="C1142" i="54"/>
  <c r="C1141" i="54"/>
  <c r="C1140" i="54"/>
  <c r="C1139" i="54"/>
  <c r="C1138" i="54"/>
  <c r="C1137" i="54"/>
  <c r="C1136" i="54"/>
  <c r="C1135" i="54"/>
  <c r="C1134" i="54"/>
  <c r="C1133" i="54"/>
  <c r="C1132" i="54"/>
  <c r="C1131" i="54"/>
  <c r="C1130" i="54"/>
  <c r="C1129" i="54"/>
  <c r="C1128" i="54"/>
  <c r="C1127" i="54"/>
  <c r="C1126" i="54"/>
  <c r="C1125" i="54"/>
  <c r="C1124" i="54"/>
  <c r="C1123" i="54"/>
  <c r="C1122" i="54"/>
  <c r="C1121" i="54"/>
  <c r="C1120" i="54"/>
  <c r="C1119" i="54"/>
  <c r="C1118" i="54"/>
  <c r="C1117" i="54"/>
  <c r="C1116" i="54"/>
  <c r="C1115" i="54"/>
  <c r="C1114" i="54"/>
  <c r="C1113" i="54"/>
  <c r="C1112" i="54"/>
  <c r="C1111" i="54"/>
  <c r="C1110" i="54"/>
  <c r="C1109" i="54"/>
  <c r="C1108" i="54"/>
  <c r="C1107" i="54"/>
  <c r="C1106" i="54"/>
  <c r="C1105" i="54"/>
  <c r="C1104" i="54"/>
  <c r="C1103" i="54"/>
  <c r="C1102" i="54"/>
  <c r="C1101" i="54"/>
  <c r="C1100" i="54"/>
  <c r="C1099" i="54"/>
  <c r="C1098" i="54"/>
  <c r="C1097" i="54"/>
  <c r="C1096" i="54"/>
  <c r="C1095" i="54"/>
  <c r="C1094" i="54"/>
  <c r="C1093" i="54"/>
  <c r="C1092" i="54"/>
  <c r="C1091" i="54"/>
  <c r="C1090" i="54"/>
  <c r="C1089" i="54"/>
  <c r="C1088" i="54"/>
  <c r="C1087" i="54"/>
  <c r="C1086" i="54"/>
  <c r="C1085" i="54"/>
  <c r="C1084" i="54"/>
  <c r="C1083" i="54"/>
  <c r="C1082" i="54"/>
  <c r="C1081" i="54"/>
  <c r="C1080" i="54"/>
  <c r="C1079" i="54"/>
  <c r="C1078" i="54"/>
  <c r="C1077" i="54"/>
  <c r="C1076" i="54"/>
  <c r="C1075" i="54"/>
  <c r="C1074" i="54"/>
  <c r="C1073" i="54"/>
  <c r="C1072" i="54"/>
  <c r="C1071" i="54"/>
  <c r="C1070" i="54"/>
  <c r="C1069" i="54"/>
  <c r="C1068" i="54"/>
  <c r="C1067" i="54"/>
  <c r="C1066" i="54"/>
  <c r="C1065" i="54"/>
  <c r="C1064" i="54"/>
  <c r="C1063" i="54"/>
  <c r="C1062" i="54"/>
  <c r="C1061" i="54"/>
  <c r="C1060" i="54"/>
  <c r="C1059" i="54"/>
  <c r="C1058" i="54"/>
  <c r="C1057" i="54"/>
  <c r="C1056" i="54"/>
  <c r="C1055" i="54"/>
  <c r="C1054" i="54"/>
  <c r="C1053" i="54"/>
  <c r="C1052" i="54"/>
  <c r="C1051" i="54"/>
  <c r="C1050" i="54"/>
  <c r="C1049" i="54"/>
  <c r="C1048" i="54"/>
  <c r="C1047" i="54"/>
  <c r="C1046" i="54"/>
  <c r="C1045" i="54"/>
  <c r="C1044" i="54"/>
  <c r="C1043" i="54"/>
  <c r="C1042" i="54"/>
  <c r="C1041" i="54"/>
  <c r="C1040" i="54"/>
  <c r="C1039" i="54"/>
  <c r="C1038" i="54"/>
  <c r="C1037" i="54"/>
  <c r="C1036" i="54"/>
  <c r="C1035" i="54"/>
  <c r="C1034" i="54"/>
  <c r="C1033" i="54"/>
  <c r="C1032" i="54"/>
  <c r="C1031" i="54"/>
  <c r="C1030" i="54"/>
  <c r="C1029" i="54"/>
  <c r="C1028" i="54"/>
  <c r="C1027" i="54"/>
  <c r="C1026" i="54"/>
  <c r="C1025" i="54"/>
  <c r="C1024" i="54"/>
  <c r="C1023" i="54"/>
  <c r="C1022" i="54"/>
  <c r="C1021" i="54"/>
  <c r="C1020" i="54"/>
  <c r="C1019" i="54"/>
  <c r="C1018" i="54"/>
  <c r="C1017" i="54"/>
  <c r="C1016" i="54"/>
  <c r="C1015" i="54"/>
  <c r="C1014" i="54"/>
  <c r="C1013" i="54"/>
  <c r="C1012" i="54"/>
  <c r="C1011" i="54"/>
  <c r="C1010" i="54"/>
  <c r="C1009" i="54"/>
  <c r="C1008" i="54"/>
  <c r="C1007" i="54"/>
  <c r="C1006" i="54"/>
  <c r="C1005" i="54"/>
  <c r="C1004" i="54"/>
  <c r="C1003" i="54"/>
  <c r="C1002" i="54"/>
  <c r="C1001" i="54"/>
  <c r="C1000" i="54"/>
  <c r="C999" i="54"/>
  <c r="C998" i="54"/>
  <c r="C997" i="54"/>
  <c r="C996" i="54"/>
  <c r="C995" i="54"/>
  <c r="C994" i="54"/>
  <c r="C993" i="54"/>
  <c r="C992" i="54"/>
  <c r="C991" i="54"/>
  <c r="C990" i="54"/>
  <c r="C989" i="54"/>
  <c r="C988" i="54"/>
  <c r="C987" i="54"/>
  <c r="C986" i="54"/>
  <c r="C985" i="54"/>
  <c r="C984" i="54"/>
  <c r="C983" i="54"/>
  <c r="C982" i="54"/>
  <c r="C981" i="54"/>
  <c r="C980" i="54"/>
  <c r="C979" i="54"/>
  <c r="C978" i="54"/>
  <c r="C977" i="54"/>
  <c r="C976" i="54"/>
  <c r="C975" i="54"/>
  <c r="C974" i="54"/>
  <c r="C973" i="54"/>
  <c r="C972" i="54"/>
  <c r="C971" i="54"/>
  <c r="C970" i="54"/>
  <c r="C969" i="54"/>
  <c r="C968" i="54"/>
  <c r="C967" i="54"/>
  <c r="C966" i="54"/>
  <c r="C965" i="54"/>
  <c r="C964" i="54"/>
  <c r="C963" i="54"/>
  <c r="C962" i="54"/>
  <c r="C961" i="54"/>
  <c r="C960" i="54"/>
  <c r="C959" i="54"/>
  <c r="C958" i="54"/>
  <c r="C957" i="54"/>
  <c r="C956" i="54"/>
  <c r="C955" i="54"/>
  <c r="C954" i="54"/>
  <c r="C953" i="54"/>
  <c r="C952" i="54"/>
  <c r="C951" i="54"/>
  <c r="C950" i="54"/>
  <c r="C949" i="54"/>
  <c r="C948" i="54"/>
  <c r="C947" i="54"/>
  <c r="C946" i="54"/>
  <c r="C945" i="54"/>
  <c r="C944" i="54"/>
  <c r="C943" i="54"/>
  <c r="C942" i="54"/>
  <c r="C941" i="54"/>
  <c r="C940" i="54"/>
  <c r="C939" i="54"/>
  <c r="C938" i="54"/>
  <c r="C937" i="54"/>
  <c r="C936" i="54"/>
  <c r="C935" i="54"/>
  <c r="C934" i="54"/>
  <c r="C933" i="54"/>
  <c r="C932" i="54"/>
  <c r="C931" i="54"/>
  <c r="C930" i="54"/>
  <c r="C929" i="54"/>
  <c r="C928" i="54"/>
  <c r="C927" i="54"/>
  <c r="C926" i="54"/>
  <c r="C925" i="54"/>
  <c r="C924" i="54"/>
  <c r="C923" i="54"/>
  <c r="C922" i="54"/>
  <c r="C921" i="54"/>
  <c r="C920" i="54"/>
  <c r="C919" i="54"/>
  <c r="C918" i="54"/>
  <c r="C917" i="54"/>
  <c r="C916" i="54"/>
  <c r="C915" i="54"/>
  <c r="C914" i="54"/>
  <c r="C913" i="54"/>
  <c r="C912" i="54"/>
  <c r="C911" i="54"/>
  <c r="C910" i="54"/>
  <c r="C909" i="54"/>
  <c r="C908" i="54"/>
  <c r="C907" i="54"/>
  <c r="C906" i="54"/>
  <c r="C905" i="54"/>
  <c r="C904" i="54"/>
  <c r="C903" i="54"/>
  <c r="C902" i="54"/>
  <c r="C901" i="54"/>
  <c r="C900" i="54"/>
  <c r="C899" i="54"/>
  <c r="C898" i="54"/>
  <c r="C897" i="54"/>
  <c r="C896" i="54"/>
  <c r="C895" i="54"/>
  <c r="C894" i="54"/>
  <c r="C893" i="54"/>
  <c r="C892" i="54"/>
  <c r="C891" i="54"/>
  <c r="C890" i="54"/>
  <c r="C889" i="54"/>
  <c r="C888" i="54"/>
  <c r="C887" i="54"/>
  <c r="C886" i="54"/>
  <c r="C885" i="54"/>
  <c r="C884" i="54"/>
  <c r="C883" i="54"/>
  <c r="C882" i="54"/>
  <c r="C881" i="54"/>
  <c r="C880" i="54"/>
  <c r="C879" i="54"/>
  <c r="C878" i="54"/>
  <c r="C877" i="54"/>
  <c r="C876" i="54"/>
  <c r="C875" i="54"/>
  <c r="C874" i="54"/>
  <c r="C873" i="54"/>
  <c r="C872" i="54"/>
  <c r="C871" i="54"/>
  <c r="C870" i="54"/>
  <c r="C869" i="54"/>
  <c r="C868" i="54"/>
  <c r="C867" i="54"/>
  <c r="C866" i="54"/>
  <c r="C865" i="54"/>
  <c r="C864" i="54"/>
  <c r="C863" i="54"/>
  <c r="C862" i="54"/>
  <c r="C861" i="54"/>
  <c r="C860" i="54"/>
  <c r="C859" i="54"/>
  <c r="C858" i="54"/>
  <c r="C857" i="54"/>
  <c r="C856" i="54"/>
  <c r="C855" i="54"/>
  <c r="C854" i="54"/>
  <c r="C853" i="54"/>
  <c r="C852" i="54"/>
  <c r="C851" i="54"/>
  <c r="C850" i="54"/>
  <c r="C849" i="54"/>
  <c r="C848" i="54"/>
  <c r="C847" i="54"/>
  <c r="C846" i="54"/>
  <c r="C845" i="54"/>
  <c r="C844" i="54"/>
  <c r="C843" i="54"/>
  <c r="C842" i="54"/>
  <c r="C841" i="54"/>
  <c r="C840" i="54"/>
  <c r="C839" i="54"/>
  <c r="C838" i="54"/>
  <c r="C837" i="54"/>
  <c r="C836" i="54"/>
  <c r="C835" i="54"/>
  <c r="C834" i="54"/>
  <c r="C833" i="54"/>
  <c r="C832" i="54"/>
  <c r="C831" i="54"/>
  <c r="C830" i="54"/>
  <c r="C829" i="54"/>
  <c r="C828" i="54"/>
  <c r="C827" i="54"/>
  <c r="C826" i="54"/>
  <c r="C825" i="54"/>
  <c r="C824" i="54"/>
  <c r="C823" i="54"/>
  <c r="C822" i="54"/>
  <c r="C821" i="54"/>
  <c r="C820" i="54"/>
  <c r="C819" i="54"/>
  <c r="C818" i="54"/>
  <c r="C817" i="54"/>
  <c r="C816" i="54"/>
  <c r="C815" i="54"/>
  <c r="C814" i="54"/>
  <c r="C813" i="54"/>
  <c r="C812" i="54"/>
  <c r="C811" i="54"/>
  <c r="C810" i="54"/>
  <c r="C809" i="54"/>
  <c r="C808" i="54"/>
  <c r="C807" i="54"/>
  <c r="C806" i="54"/>
  <c r="C805" i="54"/>
  <c r="C804" i="54"/>
  <c r="C803" i="54"/>
  <c r="C802" i="54"/>
  <c r="C801" i="54"/>
  <c r="C800" i="54"/>
  <c r="C799" i="54"/>
  <c r="C798" i="54"/>
  <c r="C797" i="54"/>
  <c r="C796" i="54"/>
  <c r="C795" i="54"/>
  <c r="C794" i="54"/>
  <c r="C793" i="54"/>
  <c r="C792" i="54"/>
  <c r="C791" i="54"/>
  <c r="C790" i="54"/>
  <c r="C789" i="54"/>
  <c r="C788" i="54"/>
  <c r="C787" i="54"/>
  <c r="C786" i="54"/>
  <c r="C785" i="54"/>
  <c r="C784" i="54"/>
  <c r="C783" i="54"/>
  <c r="C782" i="54"/>
  <c r="C781" i="54"/>
  <c r="C780" i="54"/>
  <c r="C779" i="54"/>
  <c r="C778" i="54"/>
  <c r="C777" i="54"/>
  <c r="C776" i="54"/>
  <c r="C775" i="54"/>
  <c r="C774" i="54"/>
  <c r="C773" i="54"/>
  <c r="C772" i="54"/>
  <c r="C771" i="54"/>
  <c r="C770" i="54"/>
  <c r="C769" i="54"/>
  <c r="C768" i="54"/>
  <c r="C767" i="54"/>
  <c r="C766" i="54"/>
  <c r="C765" i="54"/>
  <c r="C764" i="54"/>
  <c r="C763" i="54"/>
  <c r="C762" i="54"/>
  <c r="C761" i="54"/>
  <c r="C760" i="54"/>
  <c r="C759" i="54"/>
  <c r="C758" i="54"/>
  <c r="C757" i="54"/>
  <c r="C756" i="54"/>
  <c r="C755" i="54"/>
  <c r="C754" i="54"/>
  <c r="C753" i="54"/>
  <c r="C752" i="54"/>
  <c r="C751" i="54"/>
  <c r="C750" i="54"/>
  <c r="C749" i="54"/>
  <c r="C748" i="54"/>
  <c r="C747" i="54"/>
  <c r="C746" i="54"/>
  <c r="C745" i="54"/>
  <c r="C744" i="54"/>
  <c r="C743" i="54"/>
  <c r="C742" i="54"/>
  <c r="C741" i="54"/>
  <c r="C740" i="54"/>
  <c r="C739" i="54"/>
  <c r="C738" i="54"/>
  <c r="C737" i="54"/>
  <c r="C736" i="54"/>
  <c r="C735" i="54"/>
  <c r="C734" i="54"/>
  <c r="C733" i="54"/>
  <c r="C732" i="54"/>
  <c r="C731" i="54"/>
  <c r="C730" i="54"/>
  <c r="C729" i="54"/>
  <c r="C728" i="54"/>
  <c r="C727" i="54"/>
  <c r="C726" i="54"/>
  <c r="C725" i="54"/>
  <c r="C724" i="54"/>
  <c r="C723" i="54"/>
  <c r="C722" i="54"/>
  <c r="C721" i="54"/>
  <c r="C720" i="54"/>
  <c r="C719" i="54"/>
  <c r="C718" i="54"/>
  <c r="C717" i="54"/>
  <c r="C716" i="54"/>
  <c r="C715" i="54"/>
  <c r="C714" i="54"/>
  <c r="C713" i="54"/>
  <c r="C712" i="54"/>
  <c r="C711" i="54"/>
  <c r="C710" i="54"/>
  <c r="C709" i="54"/>
  <c r="C708" i="54"/>
  <c r="C707" i="54"/>
  <c r="C706" i="54"/>
  <c r="C705" i="54"/>
  <c r="C704" i="54"/>
  <c r="C703" i="54"/>
  <c r="C702" i="54"/>
  <c r="C701" i="54"/>
  <c r="C700" i="54"/>
  <c r="C699" i="54"/>
  <c r="C698" i="54"/>
  <c r="C697" i="54"/>
  <c r="C696" i="54"/>
  <c r="C695" i="54"/>
  <c r="C694" i="54"/>
  <c r="C693" i="54"/>
  <c r="C692" i="54"/>
  <c r="C691" i="54"/>
  <c r="C690" i="54"/>
  <c r="C689" i="54"/>
  <c r="C688" i="54"/>
  <c r="C687" i="54"/>
  <c r="C686" i="54"/>
  <c r="C685" i="54"/>
  <c r="C684" i="54"/>
  <c r="C683" i="54"/>
  <c r="C682" i="54"/>
  <c r="C681" i="54"/>
  <c r="C680" i="54"/>
  <c r="C679" i="54"/>
  <c r="C678" i="54"/>
  <c r="C677" i="54"/>
  <c r="C676" i="54"/>
  <c r="C675" i="54"/>
  <c r="C674" i="54"/>
  <c r="C673" i="54"/>
  <c r="C672" i="54"/>
  <c r="C671" i="54"/>
  <c r="C670" i="54"/>
  <c r="C669" i="54"/>
  <c r="C668" i="54"/>
  <c r="C667" i="54"/>
  <c r="C666" i="54"/>
  <c r="C665" i="54"/>
  <c r="C664" i="54"/>
  <c r="C663" i="54"/>
  <c r="C662" i="54"/>
  <c r="C661" i="54"/>
  <c r="C660" i="54"/>
  <c r="C659" i="54"/>
  <c r="C658" i="54"/>
  <c r="C657" i="54"/>
  <c r="C656" i="54"/>
  <c r="C655" i="54"/>
  <c r="C654" i="54"/>
  <c r="C653" i="54"/>
  <c r="C652" i="54"/>
  <c r="C651" i="54"/>
  <c r="C650" i="54"/>
  <c r="C649" i="54"/>
  <c r="C648" i="54"/>
  <c r="C647" i="54"/>
  <c r="C646" i="54"/>
  <c r="C645" i="54"/>
  <c r="C644" i="54"/>
  <c r="C643" i="54"/>
  <c r="C642" i="54"/>
  <c r="C641" i="54"/>
  <c r="C640" i="54"/>
  <c r="C639" i="54"/>
  <c r="C638" i="54"/>
  <c r="C637" i="54"/>
  <c r="C636" i="54"/>
  <c r="C635" i="54"/>
  <c r="C634" i="54"/>
  <c r="C633" i="54"/>
  <c r="C632" i="54"/>
  <c r="C631" i="54"/>
  <c r="C630" i="54"/>
  <c r="C629" i="54"/>
  <c r="C628" i="54"/>
  <c r="C627" i="54"/>
  <c r="C626" i="54"/>
  <c r="C625" i="54"/>
  <c r="C624" i="54"/>
  <c r="C623" i="54"/>
  <c r="C622" i="54"/>
  <c r="C621" i="54"/>
  <c r="C620" i="54"/>
  <c r="C619" i="54"/>
  <c r="C618" i="54"/>
  <c r="C617" i="54"/>
  <c r="C616" i="54"/>
  <c r="C615" i="54"/>
  <c r="C614" i="54"/>
  <c r="C613" i="54"/>
  <c r="C612" i="54"/>
  <c r="C611" i="54"/>
  <c r="C610" i="54"/>
  <c r="C609" i="54"/>
  <c r="C608" i="54"/>
  <c r="C607" i="54"/>
  <c r="C606" i="54"/>
  <c r="C605" i="54"/>
  <c r="C604" i="54"/>
  <c r="C603" i="54"/>
  <c r="C602" i="54"/>
  <c r="C601" i="54"/>
  <c r="C600" i="54"/>
  <c r="C599" i="54"/>
  <c r="C598" i="54"/>
  <c r="C597" i="54"/>
  <c r="C596" i="54"/>
  <c r="C595" i="54"/>
  <c r="C594" i="54"/>
  <c r="C593" i="54"/>
  <c r="C592" i="54"/>
  <c r="C591" i="54"/>
  <c r="C590" i="54"/>
  <c r="C589" i="54"/>
  <c r="C588" i="54"/>
  <c r="C587" i="54"/>
  <c r="C586" i="54"/>
  <c r="C585" i="54"/>
  <c r="C584" i="54"/>
  <c r="C583" i="54"/>
  <c r="C582" i="54"/>
  <c r="C581" i="54"/>
  <c r="C580" i="54"/>
  <c r="C579" i="54"/>
  <c r="C578" i="54"/>
  <c r="C577" i="54"/>
  <c r="C576" i="54"/>
  <c r="C575" i="54"/>
  <c r="C574" i="54"/>
  <c r="C573" i="54"/>
  <c r="C572" i="54"/>
  <c r="C571" i="54"/>
  <c r="C570" i="54"/>
  <c r="C569" i="54"/>
  <c r="C568" i="54"/>
  <c r="C567" i="54"/>
  <c r="C566" i="54"/>
  <c r="C565" i="54"/>
  <c r="C564" i="54"/>
  <c r="C563" i="54"/>
  <c r="C562" i="54"/>
  <c r="C561" i="54"/>
  <c r="C560" i="54"/>
  <c r="C559" i="54"/>
  <c r="C558" i="54"/>
  <c r="C557" i="54"/>
  <c r="C556" i="54"/>
  <c r="C555" i="54"/>
  <c r="C554" i="54"/>
  <c r="C553" i="54"/>
  <c r="C552" i="54"/>
  <c r="C551" i="54"/>
  <c r="C550" i="54"/>
  <c r="C549" i="54"/>
  <c r="C548" i="54"/>
  <c r="C547" i="54"/>
  <c r="C546" i="54"/>
  <c r="C545" i="54"/>
  <c r="C544" i="54"/>
  <c r="C543" i="54"/>
  <c r="C542" i="54"/>
  <c r="C541" i="54"/>
  <c r="C540" i="54"/>
  <c r="C539" i="54"/>
  <c r="C538" i="54"/>
  <c r="C537" i="54"/>
  <c r="C536" i="54"/>
  <c r="C535" i="54"/>
  <c r="C534" i="54"/>
  <c r="C533" i="54"/>
  <c r="C532" i="54"/>
  <c r="C531" i="54"/>
  <c r="C530" i="54"/>
  <c r="C529" i="54"/>
  <c r="C528" i="54"/>
  <c r="C527" i="54"/>
  <c r="C526" i="54"/>
  <c r="C525" i="54"/>
  <c r="C524" i="54"/>
  <c r="C523" i="54"/>
  <c r="C522" i="54"/>
  <c r="C521" i="54"/>
  <c r="C520" i="54"/>
  <c r="C519" i="54"/>
  <c r="C518" i="54"/>
  <c r="C517" i="54"/>
  <c r="C516" i="54"/>
  <c r="C515" i="54"/>
  <c r="C514" i="54"/>
  <c r="C513" i="54"/>
  <c r="C512" i="54"/>
  <c r="C511" i="54"/>
  <c r="C510" i="54"/>
  <c r="C509" i="54"/>
  <c r="C508" i="54"/>
  <c r="C507" i="54"/>
  <c r="C506" i="54"/>
  <c r="C505" i="54"/>
  <c r="C504" i="54"/>
  <c r="C503" i="54"/>
  <c r="C502" i="54"/>
  <c r="C501" i="54"/>
  <c r="C500" i="54"/>
  <c r="C499" i="54"/>
  <c r="C498" i="54"/>
  <c r="C497" i="54"/>
  <c r="C496" i="54"/>
  <c r="C495" i="54"/>
  <c r="C494" i="54"/>
  <c r="C493" i="54"/>
  <c r="C492" i="54"/>
  <c r="C491" i="54"/>
  <c r="C490" i="54"/>
  <c r="C489" i="54"/>
  <c r="C488" i="54"/>
  <c r="C487" i="54"/>
  <c r="C486" i="54"/>
  <c r="C485" i="54"/>
  <c r="C484" i="54"/>
  <c r="C483" i="54"/>
  <c r="C482" i="54"/>
  <c r="C481" i="54"/>
  <c r="C480" i="54"/>
  <c r="C479" i="54"/>
  <c r="C478" i="54"/>
  <c r="C477" i="54"/>
  <c r="C476" i="54"/>
  <c r="C475" i="54"/>
  <c r="C474" i="54"/>
  <c r="C473" i="54"/>
  <c r="C472" i="54"/>
  <c r="C471" i="54"/>
  <c r="C470" i="54"/>
  <c r="C469" i="54"/>
  <c r="C468" i="54"/>
  <c r="C467" i="54"/>
  <c r="C466" i="54"/>
  <c r="C465" i="54"/>
  <c r="C464" i="54"/>
  <c r="C463" i="54"/>
  <c r="C462" i="54"/>
  <c r="C461" i="54"/>
  <c r="C460" i="54"/>
  <c r="C459" i="54"/>
  <c r="C458" i="54"/>
  <c r="C457" i="54"/>
  <c r="C456" i="54"/>
  <c r="C455" i="54"/>
  <c r="C454" i="54"/>
  <c r="C453" i="54"/>
  <c r="C452" i="54"/>
  <c r="C451" i="54"/>
  <c r="C450" i="54"/>
  <c r="C449" i="54"/>
  <c r="C448" i="54"/>
  <c r="C447" i="54"/>
  <c r="C446" i="54"/>
  <c r="C445" i="54"/>
  <c r="C444" i="54"/>
  <c r="C443" i="54"/>
  <c r="C442" i="54"/>
  <c r="C441" i="54"/>
  <c r="C440" i="54"/>
  <c r="C439" i="54"/>
  <c r="C438" i="54"/>
  <c r="C437" i="54"/>
  <c r="C436" i="54"/>
  <c r="C435" i="54"/>
  <c r="C434" i="54"/>
  <c r="C433" i="54"/>
  <c r="C432" i="54"/>
  <c r="C431" i="54"/>
  <c r="C430" i="54"/>
  <c r="C429" i="54"/>
  <c r="C428" i="54"/>
  <c r="C427" i="54"/>
  <c r="C426" i="54"/>
  <c r="C425" i="54"/>
  <c r="C424" i="54"/>
  <c r="C423" i="54"/>
  <c r="C422" i="54"/>
  <c r="C421" i="54"/>
  <c r="C420" i="54"/>
  <c r="C419" i="54"/>
  <c r="C418" i="54"/>
  <c r="C417" i="54"/>
  <c r="C416" i="54"/>
  <c r="C415" i="54"/>
  <c r="C414" i="54"/>
  <c r="C413" i="54"/>
  <c r="C412" i="54"/>
  <c r="C411" i="54"/>
  <c r="C410" i="54"/>
  <c r="C409" i="54"/>
  <c r="C408" i="54"/>
  <c r="C407" i="54"/>
  <c r="C406" i="54"/>
  <c r="C405" i="54"/>
  <c r="C404" i="54"/>
  <c r="C403" i="54"/>
  <c r="C402" i="54"/>
  <c r="C401" i="54"/>
  <c r="C400" i="54"/>
  <c r="C399" i="54"/>
  <c r="C398" i="54"/>
  <c r="C397" i="54"/>
  <c r="C396" i="54"/>
  <c r="C395" i="54"/>
  <c r="C394" i="54"/>
  <c r="C393" i="54"/>
  <c r="C392" i="54"/>
  <c r="C391" i="54"/>
  <c r="C390" i="54"/>
  <c r="C389" i="54"/>
  <c r="C388" i="54"/>
  <c r="C387" i="54"/>
  <c r="C386" i="54"/>
  <c r="C385" i="54"/>
  <c r="C384" i="54"/>
  <c r="C383" i="54"/>
  <c r="C382" i="54"/>
  <c r="C381" i="54"/>
  <c r="C380" i="54"/>
  <c r="C379" i="54"/>
  <c r="C378" i="54"/>
  <c r="C377" i="54"/>
  <c r="C376" i="54"/>
  <c r="C375" i="54"/>
  <c r="C374" i="54"/>
  <c r="C373" i="54"/>
  <c r="C372" i="54"/>
  <c r="C371" i="54"/>
  <c r="C370" i="54"/>
  <c r="C369" i="54"/>
  <c r="C368" i="54"/>
  <c r="C367" i="54"/>
  <c r="C366" i="54"/>
  <c r="C365" i="54"/>
  <c r="C364" i="54"/>
  <c r="C363" i="54"/>
  <c r="C362" i="54"/>
  <c r="C361" i="54"/>
  <c r="C360" i="54"/>
  <c r="C359" i="54"/>
  <c r="C358" i="54"/>
  <c r="C357" i="54"/>
  <c r="C356" i="54"/>
  <c r="C355" i="54"/>
  <c r="C354" i="54"/>
  <c r="C353" i="54"/>
  <c r="C352" i="54"/>
  <c r="C351" i="54"/>
  <c r="C350" i="54"/>
  <c r="C349" i="54"/>
  <c r="C348" i="54"/>
  <c r="C347" i="54"/>
  <c r="C346" i="54"/>
  <c r="C345" i="54"/>
  <c r="C344" i="54"/>
  <c r="C343" i="54"/>
  <c r="C342" i="54"/>
  <c r="C341" i="54"/>
  <c r="C340" i="54"/>
  <c r="C339" i="54"/>
  <c r="C338" i="54"/>
  <c r="C337" i="54"/>
  <c r="C336" i="54"/>
  <c r="C335" i="54"/>
  <c r="C334" i="54"/>
  <c r="C333" i="54"/>
  <c r="C332" i="54"/>
  <c r="C331" i="54"/>
  <c r="C330" i="54"/>
  <c r="C329" i="54"/>
  <c r="C328" i="54"/>
  <c r="C327" i="54"/>
  <c r="C326" i="54"/>
  <c r="C325" i="54"/>
  <c r="C324" i="54"/>
  <c r="C323" i="54"/>
  <c r="C322" i="54"/>
  <c r="C321" i="54"/>
  <c r="C320" i="54"/>
  <c r="C319" i="54"/>
  <c r="C318" i="54"/>
  <c r="C317" i="54"/>
  <c r="C316" i="54"/>
  <c r="C315" i="54"/>
  <c r="C314" i="54"/>
  <c r="C313" i="54"/>
  <c r="C312" i="54"/>
  <c r="C311" i="54"/>
  <c r="C310" i="54"/>
  <c r="C309" i="54"/>
  <c r="C308" i="54"/>
  <c r="C307" i="54"/>
  <c r="C306" i="54"/>
  <c r="C305" i="54"/>
  <c r="C304" i="54"/>
  <c r="C303" i="54"/>
  <c r="C302" i="54"/>
  <c r="C301" i="54"/>
  <c r="C300" i="54"/>
  <c r="C299" i="54"/>
  <c r="C298" i="54"/>
  <c r="C297" i="54"/>
  <c r="C296" i="54"/>
  <c r="C295" i="54"/>
  <c r="C294" i="54"/>
  <c r="C293" i="54"/>
  <c r="C292" i="54"/>
  <c r="C291" i="54"/>
  <c r="C290" i="54"/>
  <c r="C289" i="54"/>
  <c r="C288" i="54"/>
  <c r="C287" i="54"/>
  <c r="C286" i="54"/>
  <c r="C285" i="54"/>
  <c r="C284" i="54"/>
  <c r="C283" i="54"/>
  <c r="C282" i="54"/>
  <c r="C281" i="54"/>
  <c r="C280" i="54"/>
  <c r="C279" i="54"/>
  <c r="C278" i="54"/>
  <c r="C277" i="54"/>
  <c r="C276" i="54"/>
  <c r="C275" i="54"/>
  <c r="C274" i="54"/>
  <c r="C273" i="54"/>
  <c r="C272" i="54"/>
  <c r="C271" i="54"/>
  <c r="C270" i="54"/>
  <c r="C269" i="54"/>
  <c r="C268" i="54"/>
  <c r="C267" i="54"/>
  <c r="C266" i="54"/>
  <c r="C265" i="54"/>
  <c r="C264" i="54"/>
  <c r="C263" i="54"/>
  <c r="C262" i="54"/>
  <c r="C261" i="54"/>
  <c r="C260" i="54"/>
  <c r="C259" i="54"/>
  <c r="C258" i="54"/>
  <c r="C257" i="54"/>
  <c r="C256" i="54"/>
  <c r="C255" i="54"/>
  <c r="C254" i="54"/>
  <c r="C253" i="54"/>
  <c r="C252" i="54"/>
  <c r="C251" i="54"/>
  <c r="C250" i="54"/>
  <c r="C249" i="54"/>
  <c r="C248" i="54"/>
  <c r="C247" i="54"/>
  <c r="C246" i="54"/>
  <c r="C245" i="54"/>
  <c r="C244" i="54"/>
  <c r="C243" i="54"/>
  <c r="C242" i="54"/>
  <c r="C241" i="54"/>
  <c r="C240" i="54"/>
  <c r="C239" i="54"/>
  <c r="C238" i="54"/>
  <c r="C237" i="54"/>
  <c r="C236" i="54"/>
  <c r="C235" i="54"/>
  <c r="C234" i="54"/>
  <c r="C233" i="54"/>
  <c r="C232" i="54"/>
  <c r="C231" i="54"/>
  <c r="C230" i="54"/>
  <c r="C229" i="54"/>
  <c r="C228" i="54"/>
  <c r="C227" i="54"/>
  <c r="C226" i="54"/>
  <c r="C225" i="54"/>
  <c r="C224" i="54"/>
  <c r="C223" i="54"/>
  <c r="C222" i="54"/>
  <c r="C221" i="54"/>
  <c r="C220" i="54"/>
  <c r="C219" i="54"/>
  <c r="C218" i="54"/>
  <c r="C217" i="54"/>
  <c r="C216" i="54"/>
  <c r="C215" i="54"/>
  <c r="C214" i="54"/>
  <c r="C213" i="54"/>
  <c r="C212" i="54"/>
  <c r="C211" i="54"/>
  <c r="C210" i="54"/>
  <c r="C209" i="54"/>
  <c r="C208" i="54"/>
  <c r="C207" i="54"/>
  <c r="C206" i="54"/>
  <c r="C205" i="54"/>
  <c r="C204" i="54"/>
  <c r="C203" i="54"/>
  <c r="C202" i="54"/>
  <c r="C201" i="54"/>
  <c r="C200" i="54"/>
  <c r="C199" i="54"/>
  <c r="C198" i="54"/>
  <c r="C197" i="54"/>
  <c r="C196" i="54"/>
  <c r="C195" i="54"/>
  <c r="C194" i="54"/>
  <c r="C193" i="54"/>
  <c r="C192" i="54"/>
  <c r="C191" i="54"/>
  <c r="C190" i="54"/>
  <c r="C189" i="54"/>
  <c r="C188" i="54"/>
  <c r="C187" i="54"/>
  <c r="C186" i="54"/>
  <c r="C185" i="54"/>
  <c r="C184" i="54"/>
  <c r="C183" i="54"/>
  <c r="C182" i="54"/>
  <c r="C181" i="54"/>
  <c r="C180" i="54"/>
  <c r="C179" i="54"/>
  <c r="C178" i="54"/>
  <c r="C177" i="54"/>
  <c r="C176" i="54"/>
  <c r="C175" i="54"/>
  <c r="C174" i="54"/>
  <c r="C173" i="54"/>
  <c r="C172" i="54"/>
  <c r="C171" i="54"/>
  <c r="C170" i="54"/>
  <c r="C169" i="54"/>
  <c r="C168" i="54"/>
  <c r="C167" i="54"/>
  <c r="C166" i="54"/>
  <c r="C165" i="54"/>
  <c r="C164" i="54"/>
  <c r="C163" i="54"/>
  <c r="C162" i="54"/>
  <c r="C161" i="54"/>
  <c r="C160" i="54"/>
  <c r="C159" i="54"/>
  <c r="C158" i="54"/>
  <c r="C157" i="54"/>
  <c r="C156" i="54"/>
  <c r="C155" i="54"/>
  <c r="C154" i="54"/>
  <c r="C153" i="54"/>
  <c r="C152" i="54"/>
  <c r="C151" i="54"/>
  <c r="C150" i="54"/>
  <c r="C149" i="54"/>
  <c r="C148" i="54"/>
  <c r="C147" i="54"/>
  <c r="C146" i="54"/>
  <c r="C145" i="54"/>
  <c r="C144" i="54"/>
  <c r="C143" i="54"/>
  <c r="C142" i="54"/>
  <c r="C141" i="54"/>
  <c r="C140" i="54"/>
  <c r="C139" i="54"/>
  <c r="C138" i="54"/>
  <c r="C137" i="54"/>
  <c r="C136" i="54"/>
  <c r="C135" i="54"/>
  <c r="C134" i="54"/>
  <c r="C133" i="54"/>
  <c r="C132" i="54"/>
  <c r="C131" i="54"/>
  <c r="C130" i="54"/>
  <c r="C129" i="54"/>
  <c r="C128" i="54"/>
  <c r="C127" i="54"/>
  <c r="C126" i="54"/>
  <c r="C125" i="54"/>
  <c r="C124" i="54"/>
  <c r="C123" i="54"/>
  <c r="C122" i="54"/>
  <c r="C121" i="54"/>
  <c r="C120" i="54"/>
  <c r="C119" i="54"/>
  <c r="C118" i="54"/>
  <c r="C117" i="54"/>
  <c r="C116" i="54"/>
  <c r="C115" i="54"/>
  <c r="C114" i="54"/>
  <c r="C113" i="54"/>
  <c r="C112" i="54"/>
  <c r="C111" i="54"/>
  <c r="C110" i="54"/>
  <c r="C109" i="54"/>
  <c r="C108" i="54"/>
  <c r="C107" i="54"/>
  <c r="C106" i="54"/>
  <c r="C105" i="54"/>
  <c r="C104" i="54"/>
  <c r="C103" i="54"/>
  <c r="C102" i="54"/>
  <c r="C101" i="54"/>
  <c r="C100" i="54"/>
  <c r="C99" i="54"/>
  <c r="C98" i="54"/>
  <c r="C97" i="54"/>
  <c r="C96" i="54"/>
  <c r="C95" i="54"/>
  <c r="C94" i="54"/>
  <c r="C93" i="54"/>
  <c r="C92" i="54"/>
  <c r="C91" i="54"/>
  <c r="C90" i="54"/>
  <c r="C89" i="54"/>
  <c r="C88" i="54"/>
  <c r="C87" i="54"/>
  <c r="C86" i="54"/>
  <c r="C85" i="54"/>
  <c r="C84" i="54"/>
  <c r="C83" i="54"/>
  <c r="C82" i="54"/>
  <c r="C81" i="54"/>
  <c r="C80" i="54"/>
  <c r="C79" i="54"/>
  <c r="C78" i="54"/>
  <c r="C77" i="54"/>
  <c r="C76" i="54"/>
  <c r="C75" i="54"/>
  <c r="C74" i="54"/>
  <c r="C73" i="54"/>
  <c r="C72" i="54"/>
  <c r="C71" i="54"/>
  <c r="C70" i="54"/>
  <c r="C69" i="54"/>
  <c r="C68" i="54"/>
  <c r="C67" i="54"/>
  <c r="C66" i="54"/>
  <c r="C65" i="54"/>
  <c r="C64" i="54"/>
  <c r="C63" i="54"/>
  <c r="C62" i="54"/>
  <c r="C61" i="54"/>
  <c r="C60" i="54"/>
  <c r="C59" i="54"/>
  <c r="C58" i="54"/>
  <c r="C57" i="54"/>
  <c r="C56" i="54"/>
  <c r="C55" i="54"/>
  <c r="C54" i="54"/>
  <c r="C53" i="54"/>
  <c r="C52" i="54"/>
  <c r="C51" i="54"/>
  <c r="C50" i="54"/>
  <c r="C49" i="54"/>
  <c r="C48" i="54"/>
  <c r="C47" i="54"/>
  <c r="C46" i="54"/>
  <c r="C45" i="54"/>
  <c r="C44" i="54"/>
  <c r="C43" i="54"/>
  <c r="C42" i="54"/>
  <c r="C41" i="54"/>
  <c r="C40" i="54"/>
  <c r="C39" i="54"/>
  <c r="C38" i="54"/>
  <c r="C37" i="54"/>
  <c r="C36" i="54"/>
  <c r="C35" i="54"/>
  <c r="C34" i="54"/>
  <c r="C33" i="54"/>
  <c r="C32" i="54"/>
  <c r="C31" i="54"/>
  <c r="C30" i="54"/>
  <c r="C29" i="54"/>
  <c r="C28" i="54"/>
  <c r="C27" i="54"/>
  <c r="C26" i="54"/>
  <c r="C25" i="54"/>
  <c r="C24" i="54"/>
  <c r="C23" i="54"/>
  <c r="C22" i="54"/>
  <c r="C21" i="54"/>
  <c r="C20" i="54"/>
  <c r="C19" i="54"/>
  <c r="C18" i="54"/>
  <c r="C17" i="54"/>
  <c r="C16" i="54"/>
  <c r="C15" i="54"/>
  <c r="C14" i="54"/>
  <c r="C13" i="54"/>
  <c r="C12" i="54"/>
  <c r="C11" i="54"/>
  <c r="C10" i="54"/>
  <c r="C9" i="54"/>
  <c r="C8" i="54"/>
  <c r="C7" i="54"/>
  <c r="C6" i="54"/>
</calcChain>
</file>

<file path=xl/sharedStrings.xml><?xml version="1.0" encoding="utf-8"?>
<sst xmlns="http://schemas.openxmlformats.org/spreadsheetml/2006/main" count="23492" uniqueCount="88">
  <si>
    <t xml:space="preserve">
Excel 2013 – Das Handbuch</t>
  </si>
  <si>
    <t>D</t>
  </si>
  <si>
    <t>E</t>
  </si>
  <si>
    <t>Autor</t>
  </si>
  <si>
    <t>A</t>
  </si>
  <si>
    <t>B</t>
  </si>
  <si>
    <t>C</t>
  </si>
  <si>
    <t>Datum</t>
  </si>
  <si>
    <t>Stuttgart</t>
  </si>
  <si>
    <t>Berlin</t>
  </si>
  <si>
    <t>Hamburg</t>
  </si>
  <si>
    <t>München</t>
  </si>
  <si>
    <t>Standort</t>
  </si>
  <si>
    <t>Kapitel 25 - PivotChart</t>
  </si>
  <si>
    <t>Quartal</t>
  </si>
  <si>
    <t>Region</t>
  </si>
  <si>
    <t>Kostenart</t>
  </si>
  <si>
    <t>Kosten</t>
  </si>
  <si>
    <t>Düsseldorf</t>
  </si>
  <si>
    <t>West</t>
  </si>
  <si>
    <t>Versicherung</t>
  </si>
  <si>
    <t>Köln</t>
  </si>
  <si>
    <t>Reise</t>
  </si>
  <si>
    <t>Süd</t>
  </si>
  <si>
    <t>Wartung</t>
  </si>
  <si>
    <t>Dresden</t>
  </si>
  <si>
    <t>Ost</t>
  </si>
  <si>
    <t>Sonstige</t>
  </si>
  <si>
    <t>Nord</t>
  </si>
  <si>
    <t>Material</t>
  </si>
  <si>
    <t>Personal</t>
  </si>
  <si>
    <t>Bremen</t>
  </si>
  <si>
    <t>Sachkosten</t>
  </si>
  <si>
    <t>ext. DL</t>
  </si>
  <si>
    <t>Eine intelligente Tabelle als Basis für PivotTable und PivotChart</t>
  </si>
  <si>
    <t>Basisdaten</t>
  </si>
  <si>
    <t>PivotChart aus PivotTable heraus erstellen</t>
  </si>
  <si>
    <t>Zeilenbeschriftungen</t>
  </si>
  <si>
    <t>Gesamtergebnis</t>
  </si>
  <si>
    <t>Summe von Kosten</t>
  </si>
  <si>
    <t>2013</t>
  </si>
  <si>
    <t>2014</t>
  </si>
  <si>
    <t>zur Erstellung eines PivatCharts über den Befehl "Einfügen/PivotChart"</t>
  </si>
  <si>
    <t>zur Erstellung eines PivatCharts über den Befehl "Einfügen/Empfohlene Diagramme"</t>
  </si>
  <si>
    <t>zur Erstellung eines PivatCharts mithilfe der "Schnellanalyse"</t>
  </si>
  <si>
    <t>Spaltenbeschriftungen</t>
  </si>
  <si>
    <t>Nord Ergebnis</t>
  </si>
  <si>
    <t>Süd Ergebnis</t>
  </si>
  <si>
    <t>West Ergebnis</t>
  </si>
  <si>
    <t>zur Erstellung einer PivotTable mit PivotChart inklusive Feldschaltflächen</t>
  </si>
  <si>
    <t>… aus PivotTable heraus erstellen</t>
  </si>
  <si>
    <t>… mithilfe der Schnellanalyse erzeugen</t>
  </si>
  <si>
    <t>… als empfohlenes Diagramm übernehmen</t>
  </si>
  <si>
    <t>Steuerelemente zum Filtern nutzen</t>
  </si>
  <si>
    <t>… manuell aus Tabellendaten erzeugen</t>
  </si>
  <si>
    <t>PivotChart filtern mit den Feldschaltflächen</t>
  </si>
  <si>
    <t>Mit den richtigen Optionen sind mehrere Filter pro Feld zulässig</t>
  </si>
  <si>
    <t>Ost Ergebnis</t>
  </si>
  <si>
    <t>Niemeyer</t>
  </si>
  <si>
    <t>Faxgerät</t>
  </si>
  <si>
    <t>Hübner</t>
  </si>
  <si>
    <t>Scanner</t>
  </si>
  <si>
    <t>Michaelis</t>
  </si>
  <si>
    <t>Drucker</t>
  </si>
  <si>
    <t>Laptop</t>
  </si>
  <si>
    <t>Ferreira</t>
  </si>
  <si>
    <t>Festplatte</t>
  </si>
  <si>
    <t>Sternbeck</t>
  </si>
  <si>
    <t>Probst</t>
  </si>
  <si>
    <t>Monitor</t>
  </si>
  <si>
    <t>Büchler</t>
  </si>
  <si>
    <t>Arnold</t>
  </si>
  <si>
    <t>Software</t>
  </si>
  <si>
    <t>Strehle</t>
  </si>
  <si>
    <t>Strohmeyer</t>
  </si>
  <si>
    <t>Maus</t>
  </si>
  <si>
    <t>Mauch</t>
  </si>
  <si>
    <t>Kuhn</t>
  </si>
  <si>
    <t>Winzer</t>
  </si>
  <si>
    <t>Stiehler</t>
  </si>
  <si>
    <t>Scholz</t>
  </si>
  <si>
    <t>Mader</t>
  </si>
  <si>
    <t>Stadt</t>
  </si>
  <si>
    <t>Verkäufer</t>
  </si>
  <si>
    <t>Produktgruppe</t>
  </si>
  <si>
    <t>Umsatz</t>
  </si>
  <si>
    <t>Das PivotChart stellt die Verhältnisse der PivotTable exakt dar</t>
  </si>
  <si>
    <t>Dietmar Gieringer  |  www.office-performance.de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</si>
</sst>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36"/>
      <color rgb="FF1E7145"/>
      <name val="Calibri Light"/>
      <family val="2"/>
    </font>
    <font>
      <sz val="14"/>
      <color theme="1"/>
      <name val="Calibri Light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0" fontId="11" fillId="0" borderId="0"/>
    <xf numFmtId="0" fontId="13" fillId="0" borderId="0" applyNumberFormat="0" applyFill="0" applyBorder="0" applyAlignment="0" applyProtection="0"/>
  </cellStyleXfs>
  <cellXfs count="31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9" fillId="0" borderId="0" xfId="0" applyFont="1"/>
    <xf numFmtId="0" fontId="10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Alignment="1">
      <alignment horizontal="left" indent="1"/>
    </xf>
    <xf numFmtId="14" fontId="0" fillId="0" borderId="0" xfId="0" applyNumberFormat="1" applyAlignment="1">
      <alignment horizontal="left" indent="1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right" indent="1"/>
    </xf>
    <xf numFmtId="0" fontId="0" fillId="0" borderId="0" xfId="0" pivotButton="1"/>
    <xf numFmtId="3" fontId="0" fillId="0" borderId="0" xfId="0" applyNumberFormat="1"/>
    <xf numFmtId="14" fontId="0" fillId="0" borderId="0" xfId="0" applyNumberFormat="1" applyAlignment="1">
      <alignment horizontal="left"/>
    </xf>
    <xf numFmtId="14" fontId="12" fillId="0" borderId="0" xfId="0" applyNumberFormat="1" applyFont="1" applyFill="1" applyBorder="1" applyAlignment="1">
      <alignment horizontal="left" indent="1"/>
    </xf>
    <xf numFmtId="0" fontId="12" fillId="0" borderId="0" xfId="0" applyFont="1" applyFill="1" applyBorder="1" applyAlignment="1">
      <alignment horizontal="left" indent="1"/>
    </xf>
    <xf numFmtId="14" fontId="0" fillId="0" borderId="0" xfId="0" applyNumberFormat="1" applyFont="1" applyFill="1" applyBorder="1" applyAlignment="1">
      <alignment horizontal="left" indent="1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  <xf numFmtId="0" fontId="14" fillId="2" borderId="0" xfId="4" applyFont="1" applyFill="1"/>
  </cellXfs>
  <cellStyles count="5">
    <cellStyle name="Hyperlink" xfId="4" builtinId="8"/>
    <cellStyle name="Standard" xfId="0" builtinId="0"/>
    <cellStyle name="Standard 2" xfId="3"/>
    <cellStyle name="Text" xfId="1"/>
    <cellStyle name="Zahlen" xfId="2"/>
  </cellStyles>
  <dxfs count="49">
    <dxf>
      <numFmt numFmtId="4" formatCode="#,##0.00"/>
      <alignment horizontal="right" vertical="bottom" textRotation="0" wrapText="0" relativeIndent="1" justifyLastLine="0" shrinkToFit="0" readingOrder="0"/>
    </dxf>
    <dxf>
      <alignment horizontal="left" vertical="bottom" textRotation="0" wrapText="0" relativeIndent="1" justifyLastLine="0" shrinkToFit="0" readingOrder="0"/>
    </dxf>
    <dxf>
      <alignment horizontal="left" vertical="bottom" textRotation="0" wrapText="0" relativeIndent="1" justifyLastLine="0" shrinkToFit="0" readingOrder="0"/>
    </dxf>
    <dxf>
      <alignment horizontal="left" vertical="bottom" textRotation="0" wrapText="0" relativeIndent="1" justifyLastLine="0" shrinkToFit="0" readingOrder="0"/>
    </dxf>
    <dxf>
      <alignment horizontal="center" vertical="bottom" textRotation="0" wrapText="0" indent="0" justifyLastLine="0" shrinkToFit="0" readingOrder="0"/>
    </dxf>
    <dxf>
      <numFmt numFmtId="19" formatCode="dd/mm/yyyy"/>
      <alignment horizontal="left" vertical="bottom" textRotation="0" wrapText="0" relativeIndent="1" justifyLastLine="0" shrinkToFit="0" readingOrder="0"/>
    </dxf>
    <dxf>
      <numFmt numFmtId="4" formatCode="#,##0.00"/>
      <alignment horizontal="right" vertical="bottom" textRotation="0" wrapText="0" relativeIndent="1" justifyLastLine="0" shrinkToFit="0" readingOrder="0"/>
    </dxf>
    <dxf>
      <alignment horizontal="left" vertical="bottom" textRotation="0" wrapText="0" relativeIndent="1" justifyLastLine="0" shrinkToFit="0" readingOrder="0"/>
    </dxf>
    <dxf>
      <alignment horizontal="left" vertical="bottom" textRotation="0" wrapText="0" relativeIndent="1" justifyLastLine="0" shrinkToFit="0" readingOrder="0"/>
    </dxf>
    <dxf>
      <numFmt numFmtId="19" formatCode="dd/mm/yyyy"/>
      <alignment horizontal="left" vertical="bottom" textRotation="0" wrapText="0" relativeIndent="1" justifyLastLine="0" shrinkToFit="0" readingOrder="0"/>
    </dxf>
    <dxf>
      <alignment horizontal="left" vertical="bottom" textRotation="0" wrapText="0" relativeIndent="1" justifyLastLine="0" shrinkToFit="0" readingOrder="0"/>
    </dxf>
    <dxf>
      <numFmt numFmtId="4" formatCode="#,##0.00"/>
      <alignment horizontal="right" vertical="bottom" textRotation="0" wrapText="0" relativeIndent="1" justifyLastLine="0" shrinkToFit="0" readingOrder="0"/>
    </dxf>
    <dxf>
      <alignment horizontal="left" vertical="bottom" textRotation="0" wrapText="0" relativeIndent="1" justifyLastLine="0" shrinkToFit="0" readingOrder="0"/>
    </dxf>
    <dxf>
      <alignment horizontal="left" vertical="bottom" textRotation="0" wrapText="0" relativeIndent="1" justifyLastLine="0" shrinkToFit="0" readingOrder="0"/>
    </dxf>
    <dxf>
      <alignment horizontal="left" vertical="bottom" textRotation="0" wrapText="0" relativeIndent="1" justifyLastLine="0" shrinkToFit="0" readingOrder="0"/>
    </dxf>
    <dxf>
      <alignment horizontal="center" vertical="bottom" textRotation="0" wrapText="0" indent="0" justifyLastLine="0" shrinkToFit="0" readingOrder="0"/>
    </dxf>
    <dxf>
      <numFmt numFmtId="19" formatCode="dd/mm/yyyy"/>
      <alignment horizontal="left" vertical="bottom" textRotation="0" wrapText="0" relativeIndent="1" justifyLastLine="0" shrinkToFit="0" readingOrder="0"/>
    </dxf>
    <dxf>
      <numFmt numFmtId="4" formatCode="#,##0.00"/>
      <alignment horizontal="right" vertical="bottom" textRotation="0" wrapText="0" relativeIndent="1" justifyLastLine="0" shrinkToFit="0" readingOrder="0"/>
    </dxf>
    <dxf>
      <alignment horizontal="left" vertical="bottom" textRotation="0" wrapText="0" relativeIndent="1" justifyLastLine="0" shrinkToFit="0" readingOrder="0"/>
    </dxf>
    <dxf>
      <alignment horizontal="left" vertical="bottom" textRotation="0" wrapText="0" relativeIndent="1" justifyLastLine="0" shrinkToFit="0" readingOrder="0"/>
    </dxf>
    <dxf>
      <numFmt numFmtId="19" formatCode="dd/mm/yyyy"/>
      <alignment horizontal="left" vertical="bottom" textRotation="0" wrapText="0" relativeIndent="1" justifyLastLine="0" shrinkToFit="0" readingOrder="0"/>
    </dxf>
    <dxf>
      <alignment horizontal="left" vertical="bottom" textRotation="0" wrapText="0" relativeIndent="1" justifyLastLine="0" shrinkToFit="0" readingOrder="0"/>
    </dxf>
    <dxf>
      <numFmt numFmtId="4" formatCode="#,##0.00"/>
      <alignment horizontal="right" vertical="bottom" textRotation="0" wrapText="0" relativeIndent="1" justifyLastLine="0" shrinkToFit="0" readingOrder="0"/>
    </dxf>
    <dxf>
      <alignment horizontal="left" vertical="bottom" textRotation="0" wrapText="0" relativeIndent="1" justifyLastLine="0" shrinkToFit="0" readingOrder="0"/>
    </dxf>
    <dxf>
      <alignment horizontal="left" vertical="bottom" textRotation="0" wrapText="0" relativeIndent="1" justifyLastLine="0" shrinkToFit="0" readingOrder="0"/>
    </dxf>
    <dxf>
      <alignment horizontal="left" vertical="bottom" textRotation="0" wrapText="0" relativeIndent="1" justifyLastLine="0" shrinkToFit="0" readingOrder="0"/>
    </dxf>
    <dxf>
      <alignment horizontal="center" vertical="bottom" textRotation="0" wrapText="0" indent="0" justifyLastLine="0" shrinkToFit="0" readingOrder="0"/>
    </dxf>
    <dxf>
      <numFmt numFmtId="19" formatCode="dd/mm/yyyy"/>
      <alignment horizontal="left" vertical="bottom" textRotation="0" wrapText="0" relativeIndent="1" justifyLastLine="0" shrinkToFit="0" readingOrder="0"/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48"/>
      <tableStyleElement type="headerRow" dxfId="47"/>
      <tableStyleElement type="totalRow" dxfId="46"/>
      <tableStyleElement type="firstColumn" dxfId="45"/>
      <tableStyleElement type="lastColumn" dxfId="44"/>
      <tableStyleElement type="firstRowStripe" dxfId="43"/>
      <tableStyleElement type="firstColumnStripe" dxfId="42"/>
    </tableStyle>
    <tableStyle name="Grün mit Rahmen" pivot="0" count="7">
      <tableStyleElement type="wholeTable" dxfId="41"/>
      <tableStyleElement type="headerRow" dxfId="40"/>
      <tableStyleElement type="totalRow" dxfId="39"/>
      <tableStyleElement type="firstColumn" dxfId="38"/>
      <tableStyleElement type="lastColumn" dxfId="37"/>
      <tableStyleElement type="firstRowStripe" dxfId="36"/>
      <tableStyleElement type="firstColumnStripe" dxfId="35"/>
    </tableStyle>
    <tableStyle name="Hellblau mit Rahmen" pivot="0" count="7">
      <tableStyleElement type="wholeTable" dxfId="34"/>
      <tableStyleElement type="headerRow" dxfId="33"/>
      <tableStyleElement type="totalRow" dxfId="32"/>
      <tableStyleElement type="firstColumn" dxfId="31"/>
      <tableStyleElement type="lastColumn" dxfId="30"/>
      <tableStyleElement type="firstRowStripe" dxfId="29"/>
      <tableStyleElement type="firstColumnStripe" dxfId="28"/>
    </tableStyle>
  </tableStyles>
  <colors>
    <mruColors>
      <color rgb="FF6BADF6"/>
      <color rgb="FF0A63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2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[Kap25_PivotChart_UEB.xlsx]Filter!PivotTable2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2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4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>
              <a:lumMod val="60000"/>
            </a:schemeClr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2">
              <a:lumMod val="60000"/>
            </a:schemeClr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Filter!$C$5:$C$7</c:f>
              <c:strCache>
                <c:ptCount val="1"/>
                <c:pt idx="0">
                  <c:v>Nord - Bremen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Filter!$B$8:$B$10</c:f>
              <c:strCache>
                <c:ptCount val="2"/>
                <c:pt idx="0">
                  <c:v>2013</c:v>
                </c:pt>
                <c:pt idx="1">
                  <c:v>2014</c:v>
                </c:pt>
              </c:strCache>
            </c:strRef>
          </c:cat>
          <c:val>
            <c:numRef>
              <c:f>Filter!$C$8:$C$10</c:f>
              <c:numCache>
                <c:formatCode>#,##0</c:formatCode>
                <c:ptCount val="2"/>
                <c:pt idx="0">
                  <c:v>68205.010000000009</c:v>
                </c:pt>
                <c:pt idx="1">
                  <c:v>52788.920000000006</c:v>
                </c:pt>
              </c:numCache>
            </c:numRef>
          </c:val>
        </c:ser>
        <c:ser>
          <c:idx val="1"/>
          <c:order val="1"/>
          <c:tx>
            <c:strRef>
              <c:f>Filter!$D$5:$D$7</c:f>
              <c:strCache>
                <c:ptCount val="1"/>
                <c:pt idx="0">
                  <c:v>Nord - Hamburg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Filter!$B$8:$B$10</c:f>
              <c:strCache>
                <c:ptCount val="2"/>
                <c:pt idx="0">
                  <c:v>2013</c:v>
                </c:pt>
                <c:pt idx="1">
                  <c:v>2014</c:v>
                </c:pt>
              </c:strCache>
            </c:strRef>
          </c:cat>
          <c:val>
            <c:numRef>
              <c:f>Filter!$D$8:$D$10</c:f>
              <c:numCache>
                <c:formatCode>#,##0</c:formatCode>
                <c:ptCount val="2"/>
                <c:pt idx="0">
                  <c:v>55535.46</c:v>
                </c:pt>
                <c:pt idx="1">
                  <c:v>59955.13</c:v>
                </c:pt>
              </c:numCache>
            </c:numRef>
          </c:val>
        </c:ser>
        <c:ser>
          <c:idx val="2"/>
          <c:order val="2"/>
          <c:tx>
            <c:strRef>
              <c:f>Filter!$F$5:$F$7</c:f>
              <c:strCache>
                <c:ptCount val="1"/>
                <c:pt idx="0">
                  <c:v>Ost - Berlin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Filter!$B$8:$B$10</c:f>
              <c:strCache>
                <c:ptCount val="2"/>
                <c:pt idx="0">
                  <c:v>2013</c:v>
                </c:pt>
                <c:pt idx="1">
                  <c:v>2014</c:v>
                </c:pt>
              </c:strCache>
            </c:strRef>
          </c:cat>
          <c:val>
            <c:numRef>
              <c:f>Filter!$F$8:$F$10</c:f>
              <c:numCache>
                <c:formatCode>#,##0</c:formatCode>
                <c:ptCount val="2"/>
                <c:pt idx="0">
                  <c:v>48227.86</c:v>
                </c:pt>
                <c:pt idx="1">
                  <c:v>34965.870000000003</c:v>
                </c:pt>
              </c:numCache>
            </c:numRef>
          </c:val>
        </c:ser>
        <c:ser>
          <c:idx val="3"/>
          <c:order val="3"/>
          <c:tx>
            <c:strRef>
              <c:f>Filter!$G$5:$G$7</c:f>
              <c:strCache>
                <c:ptCount val="1"/>
                <c:pt idx="0">
                  <c:v>Ost - Dresden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Filter!$B$8:$B$10</c:f>
              <c:strCache>
                <c:ptCount val="2"/>
                <c:pt idx="0">
                  <c:v>2013</c:v>
                </c:pt>
                <c:pt idx="1">
                  <c:v>2014</c:v>
                </c:pt>
              </c:strCache>
            </c:strRef>
          </c:cat>
          <c:val>
            <c:numRef>
              <c:f>Filter!$G$8:$G$10</c:f>
              <c:numCache>
                <c:formatCode>#,##0</c:formatCode>
                <c:ptCount val="2"/>
                <c:pt idx="0">
                  <c:v>46567.159999999996</c:v>
                </c:pt>
                <c:pt idx="1">
                  <c:v>34312.770000000004</c:v>
                </c:pt>
              </c:numCache>
            </c:numRef>
          </c:val>
        </c:ser>
        <c:ser>
          <c:idx val="4"/>
          <c:order val="4"/>
          <c:tx>
            <c:strRef>
              <c:f>Filter!$I$5:$I$7</c:f>
              <c:strCache>
                <c:ptCount val="1"/>
                <c:pt idx="0">
                  <c:v>Süd - München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Filter!$B$8:$B$10</c:f>
              <c:strCache>
                <c:ptCount val="2"/>
                <c:pt idx="0">
                  <c:v>2013</c:v>
                </c:pt>
                <c:pt idx="1">
                  <c:v>2014</c:v>
                </c:pt>
              </c:strCache>
            </c:strRef>
          </c:cat>
          <c:val>
            <c:numRef>
              <c:f>Filter!$I$8:$I$10</c:f>
              <c:numCache>
                <c:formatCode>#,##0</c:formatCode>
                <c:ptCount val="2"/>
                <c:pt idx="0">
                  <c:v>53557.130000000019</c:v>
                </c:pt>
                <c:pt idx="1">
                  <c:v>30498.400000000005</c:v>
                </c:pt>
              </c:numCache>
            </c:numRef>
          </c:val>
        </c:ser>
        <c:ser>
          <c:idx val="5"/>
          <c:order val="5"/>
          <c:tx>
            <c:strRef>
              <c:f>Filter!$J$5:$J$7</c:f>
              <c:strCache>
                <c:ptCount val="1"/>
                <c:pt idx="0">
                  <c:v>Süd - Stuttgart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Filter!$B$8:$B$10</c:f>
              <c:strCache>
                <c:ptCount val="2"/>
                <c:pt idx="0">
                  <c:v>2013</c:v>
                </c:pt>
                <c:pt idx="1">
                  <c:v>2014</c:v>
                </c:pt>
              </c:strCache>
            </c:strRef>
          </c:cat>
          <c:val>
            <c:numRef>
              <c:f>Filter!$J$8:$J$10</c:f>
              <c:numCache>
                <c:formatCode>#,##0</c:formatCode>
                <c:ptCount val="2"/>
                <c:pt idx="0">
                  <c:v>45716.98000000001</c:v>
                </c:pt>
                <c:pt idx="1">
                  <c:v>46642.780000000006</c:v>
                </c:pt>
              </c:numCache>
            </c:numRef>
          </c:val>
        </c:ser>
        <c:ser>
          <c:idx val="6"/>
          <c:order val="6"/>
          <c:tx>
            <c:strRef>
              <c:f>Filter!$L$5:$L$7</c:f>
              <c:strCache>
                <c:ptCount val="1"/>
                <c:pt idx="0">
                  <c:v>West - Düsseldorf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Filter!$B$8:$B$10</c:f>
              <c:strCache>
                <c:ptCount val="2"/>
                <c:pt idx="0">
                  <c:v>2013</c:v>
                </c:pt>
                <c:pt idx="1">
                  <c:v>2014</c:v>
                </c:pt>
              </c:strCache>
            </c:strRef>
          </c:cat>
          <c:val>
            <c:numRef>
              <c:f>Filter!$L$8:$L$10</c:f>
              <c:numCache>
                <c:formatCode>#,##0</c:formatCode>
                <c:ptCount val="2"/>
                <c:pt idx="0">
                  <c:v>44163.75</c:v>
                </c:pt>
                <c:pt idx="1">
                  <c:v>45238.149999999994</c:v>
                </c:pt>
              </c:numCache>
            </c:numRef>
          </c:val>
        </c:ser>
        <c:ser>
          <c:idx val="7"/>
          <c:order val="7"/>
          <c:tx>
            <c:strRef>
              <c:f>Filter!$M$5:$M$7</c:f>
              <c:strCache>
                <c:ptCount val="1"/>
                <c:pt idx="0">
                  <c:v>West - Köln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Filter!$B$8:$B$10</c:f>
              <c:strCache>
                <c:ptCount val="2"/>
                <c:pt idx="0">
                  <c:v>2013</c:v>
                </c:pt>
                <c:pt idx="1">
                  <c:v>2014</c:v>
                </c:pt>
              </c:strCache>
            </c:strRef>
          </c:cat>
          <c:val>
            <c:numRef>
              <c:f>Filter!$M$8:$M$10</c:f>
              <c:numCache>
                <c:formatCode>#,##0</c:formatCode>
                <c:ptCount val="2"/>
                <c:pt idx="0">
                  <c:v>55543.53</c:v>
                </c:pt>
                <c:pt idx="1">
                  <c:v>48941.64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8385152"/>
        <c:axId val="148489344"/>
      </c:barChart>
      <c:catAx>
        <c:axId val="148385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489344"/>
        <c:crosses val="autoZero"/>
        <c:auto val="1"/>
        <c:lblAlgn val="ctr"/>
        <c:lblOffset val="100"/>
        <c:noMultiLvlLbl val="0"/>
      </c:catAx>
      <c:valAx>
        <c:axId val="148489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385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mit Schnellanalyse'!A1"/><Relationship Id="rId2" Type="http://schemas.openxmlformats.org/officeDocument/2006/relationships/hyperlink" Target="#'manuell aus Tabelle'!A1"/><Relationship Id="rId1" Type="http://schemas.openxmlformats.org/officeDocument/2006/relationships/hyperlink" Target="#'&#252;ber empfohlene Diagramme'!A1"/><Relationship Id="rId6" Type="http://schemas.openxmlformats.org/officeDocument/2006/relationships/hyperlink" Target="#Filter!A1"/><Relationship Id="rId5" Type="http://schemas.openxmlformats.org/officeDocument/2006/relationships/image" Target="../media/image1.png"/><Relationship Id="rId4" Type="http://schemas.openxmlformats.org/officeDocument/2006/relationships/hyperlink" Target="#'aus PivotTable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11</xdr:row>
      <xdr:rowOff>34172</xdr:rowOff>
    </xdr:from>
    <xdr:to>
      <xdr:col>10</xdr:col>
      <xdr:colOff>323850</xdr:colOff>
      <xdr:row>11</xdr:row>
      <xdr:rowOff>358172</xdr:rowOff>
    </xdr:to>
    <xdr:sp macro="" textlink="">
      <xdr:nvSpPr>
        <xdr:cNvPr id="2" name="Pfeil_7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372034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9</xdr:row>
      <xdr:rowOff>32825</xdr:rowOff>
    </xdr:from>
    <xdr:to>
      <xdr:col>10</xdr:col>
      <xdr:colOff>323850</xdr:colOff>
      <xdr:row>9</xdr:row>
      <xdr:rowOff>356825</xdr:rowOff>
    </xdr:to>
    <xdr:sp macro="" textlink="">
      <xdr:nvSpPr>
        <xdr:cNvPr id="3" name="Pfeil_6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324275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7</xdr:row>
      <xdr:rowOff>31478</xdr:rowOff>
    </xdr:from>
    <xdr:to>
      <xdr:col>10</xdr:col>
      <xdr:colOff>323850</xdr:colOff>
      <xdr:row>7</xdr:row>
      <xdr:rowOff>355478</xdr:rowOff>
    </xdr:to>
    <xdr:sp macro="" textlink="">
      <xdr:nvSpPr>
        <xdr:cNvPr id="4" name="Pfeil_5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2765153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30131</xdr:rowOff>
    </xdr:from>
    <xdr:to>
      <xdr:col>10</xdr:col>
      <xdr:colOff>323850</xdr:colOff>
      <xdr:row>5</xdr:row>
      <xdr:rowOff>354131</xdr:rowOff>
    </xdr:to>
    <xdr:sp macro="" textlink="">
      <xdr:nvSpPr>
        <xdr:cNvPr id="5" name="Pfeil_4">
          <a:hlinkClick xmlns:r="http://schemas.openxmlformats.org/officeDocument/2006/relationships" r:id="rId4" tooltip="Hier geht's zum Beispiel"/>
        </xdr:cNvPr>
        <xdr:cNvSpPr>
          <a:spLocks noChangeAspect="1"/>
        </xdr:cNvSpPr>
      </xdr:nvSpPr>
      <xdr:spPr>
        <a:xfrm>
          <a:off x="5619600" y="2287556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9" name="Excel_2013_Logo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  <xdr:twoCellAnchor editAs="absolute">
    <xdr:from>
      <xdr:col>10</xdr:col>
      <xdr:colOff>0</xdr:colOff>
      <xdr:row>13</xdr:row>
      <xdr:rowOff>33909</xdr:rowOff>
    </xdr:from>
    <xdr:to>
      <xdr:col>10</xdr:col>
      <xdr:colOff>324000</xdr:colOff>
      <xdr:row>13</xdr:row>
      <xdr:rowOff>357909</xdr:rowOff>
    </xdr:to>
    <xdr:sp macro="" textlink="">
      <xdr:nvSpPr>
        <xdr:cNvPr id="13" name="Pfeil_4">
          <a:hlinkClick xmlns:r="http://schemas.openxmlformats.org/officeDocument/2006/relationships" r:id="rId6" tooltip="Hier geht's zum Beispiel"/>
        </xdr:cNvPr>
        <xdr:cNvSpPr>
          <a:spLocks noChangeAspect="1"/>
        </xdr:cNvSpPr>
      </xdr:nvSpPr>
      <xdr:spPr>
        <a:xfrm>
          <a:off x="5619750" y="419633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3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>
    <xdr:from>
      <xdr:col>2</xdr:col>
      <xdr:colOff>0</xdr:colOff>
      <xdr:row>11</xdr:row>
      <xdr:rowOff>0</xdr:rowOff>
    </xdr:from>
    <xdr:to>
      <xdr:col>7</xdr:col>
      <xdr:colOff>495300</xdr:colOff>
      <xdr:row>25</xdr:row>
      <xdr:rowOff>76200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ietmar Gieringer" refreshedDate="41552.762878472226" createdVersion="5" refreshedVersion="5" minRefreshableVersion="3" recordCount="600">
  <cacheSource type="worksheet">
    <worksheetSource name="tblBasisdaten"/>
  </cacheSource>
  <cacheFields count="6">
    <cacheField name="Datum" numFmtId="14">
      <sharedItems containsSemiMixedTypes="0" containsNonDate="0" containsDate="1" containsString="0" minDate="2013-01-01T00:00:00" maxDate="2014-12-31T00:00:00" count="414">
        <d v="2013-06-17T00:00:00"/>
        <d v="2014-05-27T00:00:00"/>
        <d v="2013-09-20T00:00:00"/>
        <d v="2013-02-12T00:00:00"/>
        <d v="2013-10-11T00:00:00"/>
        <d v="2014-06-19T00:00:00"/>
        <d v="2014-12-29T00:00:00"/>
        <d v="2013-06-13T00:00:00"/>
        <d v="2014-12-09T00:00:00"/>
        <d v="2014-06-25T00:00:00"/>
        <d v="2014-12-28T00:00:00"/>
        <d v="2013-09-28T00:00:00"/>
        <d v="2014-03-20T00:00:00"/>
        <d v="2014-06-11T00:00:00"/>
        <d v="2014-11-28T00:00:00"/>
        <d v="2013-12-12T00:00:00"/>
        <d v="2014-05-28T00:00:00"/>
        <d v="2014-07-03T00:00:00"/>
        <d v="2014-04-17T00:00:00"/>
        <d v="2014-09-24T00:00:00"/>
        <d v="2014-03-30T00:00:00"/>
        <d v="2013-12-24T00:00:00"/>
        <d v="2014-09-02T00:00:00"/>
        <d v="2013-11-30T00:00:00"/>
        <d v="2013-08-02T00:00:00"/>
        <d v="2014-02-21T00:00:00"/>
        <d v="2014-12-15T00:00:00"/>
        <d v="2013-09-08T00:00:00"/>
        <d v="2014-08-24T00:00:00"/>
        <d v="2013-07-11T00:00:00"/>
        <d v="2013-06-18T00:00:00"/>
        <d v="2014-10-01T00:00:00"/>
        <d v="2014-11-08T00:00:00"/>
        <d v="2014-10-29T00:00:00"/>
        <d v="2014-09-27T00:00:00"/>
        <d v="2013-10-04T00:00:00"/>
        <d v="2013-03-08T00:00:00"/>
        <d v="2014-09-20T00:00:00"/>
        <d v="2013-03-30T00:00:00"/>
        <d v="2013-04-23T00:00:00"/>
        <d v="2014-05-24T00:00:00"/>
        <d v="2014-12-10T00:00:00"/>
        <d v="2014-02-11T00:00:00"/>
        <d v="2014-06-26T00:00:00"/>
        <d v="2014-07-31T00:00:00"/>
        <d v="2014-12-20T00:00:00"/>
        <d v="2013-10-08T00:00:00"/>
        <d v="2014-10-20T00:00:00"/>
        <d v="2013-08-15T00:00:00"/>
        <d v="2014-03-06T00:00:00"/>
        <d v="2014-04-24T00:00:00"/>
        <d v="2013-05-28T00:00:00"/>
        <d v="2013-09-14T00:00:00"/>
        <d v="2014-02-08T00:00:00"/>
        <d v="2014-06-12T00:00:00"/>
        <d v="2013-06-23T00:00:00"/>
        <d v="2013-04-28T00:00:00"/>
        <d v="2013-06-29T00:00:00"/>
        <d v="2014-10-10T00:00:00"/>
        <d v="2013-12-05T00:00:00"/>
        <d v="2013-12-10T00:00:00"/>
        <d v="2013-01-10T00:00:00"/>
        <d v="2013-03-09T00:00:00"/>
        <d v="2013-11-03T00:00:00"/>
        <d v="2013-01-03T00:00:00"/>
        <d v="2014-06-14T00:00:00"/>
        <d v="2014-11-29T00:00:00"/>
        <d v="2014-08-02T00:00:00"/>
        <d v="2013-12-31T00:00:00"/>
        <d v="2013-11-08T00:00:00"/>
        <d v="2014-06-03T00:00:00"/>
        <d v="2014-07-06T00:00:00"/>
        <d v="2013-06-04T00:00:00"/>
        <d v="2013-12-09T00:00:00"/>
        <d v="2014-10-23T00:00:00"/>
        <d v="2013-01-17T00:00:00"/>
        <d v="2013-10-30T00:00:00"/>
        <d v="2013-12-06T00:00:00"/>
        <d v="2014-03-10T00:00:00"/>
        <d v="2013-12-21T00:00:00"/>
        <d v="2014-11-14T00:00:00"/>
        <d v="2013-05-06T00:00:00"/>
        <d v="2013-01-21T00:00:00"/>
        <d v="2013-07-18T00:00:00"/>
        <d v="2014-09-29T00:00:00"/>
        <d v="2013-02-16T00:00:00"/>
        <d v="2014-01-11T00:00:00"/>
        <d v="2013-05-24T00:00:00"/>
        <d v="2014-01-12T00:00:00"/>
        <d v="2013-05-08T00:00:00"/>
        <d v="2014-08-13T00:00:00"/>
        <d v="2014-10-09T00:00:00"/>
        <d v="2014-04-13T00:00:00"/>
        <d v="2013-08-12T00:00:00"/>
        <d v="2014-11-25T00:00:00"/>
        <d v="2014-07-27T00:00:00"/>
        <d v="2014-04-28T00:00:00"/>
        <d v="2013-10-16T00:00:00"/>
        <d v="2014-09-07T00:00:00"/>
        <d v="2014-04-07T00:00:00"/>
        <d v="2013-03-16T00:00:00"/>
        <d v="2014-05-14T00:00:00"/>
        <d v="2014-07-01T00:00:00"/>
        <d v="2014-05-26T00:00:00"/>
        <d v="2013-02-03T00:00:00"/>
        <d v="2013-09-24T00:00:00"/>
        <d v="2014-10-26T00:00:00"/>
        <d v="2014-05-04T00:00:00"/>
        <d v="2013-02-14T00:00:00"/>
        <d v="2013-01-24T00:00:00"/>
        <d v="2013-04-12T00:00:00"/>
        <d v="2014-12-18T00:00:00"/>
        <d v="2014-10-30T00:00:00"/>
        <d v="2013-07-10T00:00:00"/>
        <d v="2014-11-05T00:00:00"/>
        <d v="2013-11-11T00:00:00"/>
        <d v="2013-09-01T00:00:00"/>
        <d v="2014-04-11T00:00:00"/>
        <d v="2013-11-26T00:00:00"/>
        <d v="2013-12-15T00:00:00"/>
        <d v="2013-11-17T00:00:00"/>
        <d v="2013-10-15T00:00:00"/>
        <d v="2013-09-09T00:00:00"/>
        <d v="2014-05-10T00:00:00"/>
        <d v="2014-06-15T00:00:00"/>
        <d v="2014-05-12T00:00:00"/>
        <d v="2014-04-30T00:00:00"/>
        <d v="2013-07-22T00:00:00"/>
        <d v="2013-09-17T00:00:00"/>
        <d v="2014-07-24T00:00:00"/>
        <d v="2013-11-01T00:00:00"/>
        <d v="2013-08-30T00:00:00"/>
        <d v="2014-10-24T00:00:00"/>
        <d v="2014-08-25T00:00:00"/>
        <d v="2013-06-12T00:00:00"/>
        <d v="2013-07-28T00:00:00"/>
        <d v="2014-01-13T00:00:00"/>
        <d v="2014-05-21T00:00:00"/>
        <d v="2013-04-11T00:00:00"/>
        <d v="2014-12-08T00:00:00"/>
        <d v="2013-09-27T00:00:00"/>
        <d v="2013-08-18T00:00:00"/>
        <d v="2014-04-01T00:00:00"/>
        <d v="2013-09-19T00:00:00"/>
        <d v="2013-01-07T00:00:00"/>
        <d v="2014-09-18T00:00:00"/>
        <d v="2013-07-06T00:00:00"/>
        <d v="2013-08-10T00:00:00"/>
        <d v="2013-09-16T00:00:00"/>
        <d v="2013-07-15T00:00:00"/>
        <d v="2014-03-01T00:00:00"/>
        <d v="2014-11-30T00:00:00"/>
        <d v="2014-12-13T00:00:00"/>
        <d v="2014-01-06T00:00:00"/>
        <d v="2013-07-26T00:00:00"/>
        <d v="2013-11-06T00:00:00"/>
        <d v="2014-09-06T00:00:00"/>
        <d v="2014-01-03T00:00:00"/>
        <d v="2013-06-10T00:00:00"/>
        <d v="2013-07-14T00:00:00"/>
        <d v="2014-11-04T00:00:00"/>
        <d v="2014-01-05T00:00:00"/>
        <d v="2014-10-28T00:00:00"/>
        <d v="2013-05-26T00:00:00"/>
        <d v="2013-12-26T00:00:00"/>
        <d v="2014-05-20T00:00:00"/>
        <d v="2014-10-17T00:00:00"/>
        <d v="2013-03-02T00:00:00"/>
        <d v="2013-04-06T00:00:00"/>
        <d v="2013-10-01T00:00:00"/>
        <d v="2013-02-01T00:00:00"/>
        <d v="2013-03-19T00:00:00"/>
        <d v="2013-01-30T00:00:00"/>
        <d v="2014-01-22T00:00:00"/>
        <d v="2013-04-13T00:00:00"/>
        <d v="2014-12-16T00:00:00"/>
        <d v="2013-06-20T00:00:00"/>
        <d v="2014-03-17T00:00:00"/>
        <d v="2014-10-03T00:00:00"/>
        <d v="2013-01-22T00:00:00"/>
        <d v="2013-08-03T00:00:00"/>
        <d v="2013-01-31T00:00:00"/>
        <d v="2013-08-29T00:00:00"/>
        <d v="2013-07-02T00:00:00"/>
        <d v="2014-06-22T00:00:00"/>
        <d v="2013-04-22T00:00:00"/>
        <d v="2014-05-05T00:00:00"/>
        <d v="2013-01-19T00:00:00"/>
        <d v="2014-04-09T00:00:00"/>
        <d v="2013-04-08T00:00:00"/>
        <d v="2013-12-18T00:00:00"/>
        <d v="2013-08-05T00:00:00"/>
        <d v="2013-03-27T00:00:00"/>
        <d v="2013-05-07T00:00:00"/>
        <d v="2013-07-27T00:00:00"/>
        <d v="2014-09-30T00:00:00"/>
        <d v="2013-06-07T00:00:00"/>
        <d v="2013-01-15T00:00:00"/>
        <d v="2014-08-04T00:00:00"/>
        <d v="2014-09-14T00:00:00"/>
        <d v="2014-06-02T00:00:00"/>
        <d v="2013-12-03T00:00:00"/>
        <d v="2013-10-22T00:00:00"/>
        <d v="2014-02-25T00:00:00"/>
        <d v="2014-02-28T00:00:00"/>
        <d v="2014-01-20T00:00:00"/>
        <d v="2014-01-09T00:00:00"/>
        <d v="2013-03-31T00:00:00"/>
        <d v="2014-11-22T00:00:00"/>
        <d v="2014-07-17T00:00:00"/>
        <d v="2013-11-10T00:00:00"/>
        <d v="2014-03-24T00:00:00"/>
        <d v="2013-06-19T00:00:00"/>
        <d v="2013-01-08T00:00:00"/>
        <d v="2013-08-07T00:00:00"/>
        <d v="2014-09-28T00:00:00"/>
        <d v="2014-08-12T00:00:00"/>
        <d v="2014-12-30T00:00:00"/>
        <d v="2014-04-02T00:00:00"/>
        <d v="2014-12-21T00:00:00"/>
        <d v="2013-06-28T00:00:00"/>
        <d v="2014-08-19T00:00:00"/>
        <d v="2014-07-29T00:00:00"/>
        <d v="2014-03-25T00:00:00"/>
        <d v="2014-06-16T00:00:00"/>
        <d v="2013-01-20T00:00:00"/>
        <d v="2013-11-29T00:00:00"/>
        <d v="2014-07-18T00:00:00"/>
        <d v="2013-12-16T00:00:00"/>
        <d v="2014-04-06T00:00:00"/>
        <d v="2013-03-29T00:00:00"/>
        <d v="2014-05-25T00:00:00"/>
        <d v="2013-06-08T00:00:00"/>
        <d v="2013-11-16T00:00:00"/>
        <d v="2014-02-23T00:00:00"/>
        <d v="2013-04-03T00:00:00"/>
        <d v="2013-07-19T00:00:00"/>
        <d v="2014-03-18T00:00:00"/>
        <d v="2014-07-21T00:00:00"/>
        <d v="2013-03-14T00:00:00"/>
        <d v="2013-11-21T00:00:00"/>
        <d v="2014-02-26T00:00:00"/>
        <d v="2014-11-09T00:00:00"/>
        <d v="2014-05-29T00:00:00"/>
        <d v="2013-12-28T00:00:00"/>
        <d v="2014-12-04T00:00:00"/>
        <d v="2014-05-18T00:00:00"/>
        <d v="2014-09-22T00:00:00"/>
        <d v="2013-07-05T00:00:00"/>
        <d v="2014-07-25T00:00:00"/>
        <d v="2013-05-29T00:00:00"/>
        <d v="2013-04-16T00:00:00"/>
        <d v="2013-07-21T00:00:00"/>
        <d v="2013-11-25T00:00:00"/>
        <d v="2013-09-22T00:00:00"/>
        <d v="2014-06-27T00:00:00"/>
        <d v="2013-07-16T00:00:00"/>
        <d v="2013-10-19T00:00:00"/>
        <d v="2014-01-16T00:00:00"/>
        <d v="2013-04-19T00:00:00"/>
        <d v="2014-03-12T00:00:00"/>
        <d v="2014-12-26T00:00:00"/>
        <d v="2013-05-18T00:00:00"/>
        <d v="2013-01-01T00:00:00"/>
        <d v="2013-02-13T00:00:00"/>
        <d v="2014-09-04T00:00:00"/>
        <d v="2013-10-10T00:00:00"/>
        <d v="2014-01-31T00:00:00"/>
        <d v="2013-02-24T00:00:00"/>
        <d v="2014-04-25T00:00:00"/>
        <d v="2013-03-22T00:00:00"/>
        <d v="2014-08-06T00:00:00"/>
        <d v="2013-12-25T00:00:00"/>
        <d v="2014-07-09T00:00:00"/>
        <d v="2014-08-09T00:00:00"/>
        <d v="2014-01-21T00:00:00"/>
        <d v="2014-04-05T00:00:00"/>
        <d v="2014-09-21T00:00:00"/>
        <d v="2014-11-12T00:00:00"/>
        <d v="2013-06-06T00:00:00"/>
        <d v="2013-08-27T00:00:00"/>
        <d v="2013-07-07T00:00:00"/>
        <d v="2014-11-06T00:00:00"/>
        <d v="2014-07-13T00:00:00"/>
        <d v="2013-04-27T00:00:00"/>
        <d v="2013-08-04T00:00:00"/>
        <d v="2013-01-12T00:00:00"/>
        <d v="2014-11-03T00:00:00"/>
        <d v="2013-11-24T00:00:00"/>
        <d v="2013-07-25T00:00:00"/>
        <d v="2013-03-04T00:00:00"/>
        <d v="2013-06-02T00:00:00"/>
        <d v="2014-05-01T00:00:00"/>
        <d v="2013-05-13T00:00:00"/>
        <d v="2013-03-06T00:00:00"/>
        <d v="2013-04-02T00:00:00"/>
        <d v="2014-03-31T00:00:00"/>
        <d v="2014-02-10T00:00:00"/>
        <d v="2014-11-21T00:00:00"/>
        <d v="2014-10-06T00:00:00"/>
        <d v="2014-05-02T00:00:00"/>
        <d v="2013-04-25T00:00:00"/>
        <d v="2013-07-08T00:00:00"/>
        <d v="2014-02-03T00:00:00"/>
        <d v="2013-10-07T00:00:00"/>
        <d v="2014-01-10T00:00:00"/>
        <d v="2014-09-12T00:00:00"/>
        <d v="2013-01-29T00:00:00"/>
        <d v="2013-02-25T00:00:00"/>
        <d v="2014-07-14T00:00:00"/>
        <d v="2014-12-17T00:00:00"/>
        <d v="2014-11-27T00:00:00"/>
        <d v="2013-02-17T00:00:00"/>
        <d v="2014-07-16T00:00:00"/>
        <d v="2013-07-04T00:00:00"/>
        <d v="2014-11-19T00:00:00"/>
        <d v="2014-03-04T00:00:00"/>
        <d v="2014-08-15T00:00:00"/>
        <d v="2014-10-11T00:00:00"/>
        <d v="2013-08-20T00:00:00"/>
        <d v="2014-03-14T00:00:00"/>
        <d v="2013-04-09T00:00:00"/>
        <d v="2013-05-02T00:00:00"/>
        <d v="2014-02-22T00:00:00"/>
        <d v="2013-02-02T00:00:00"/>
        <d v="2014-11-24T00:00:00"/>
        <d v="2013-06-22T00:00:00"/>
        <d v="2013-02-05T00:00:00"/>
        <d v="2013-09-02T00:00:00"/>
        <d v="2013-12-29T00:00:00"/>
        <d v="2014-08-18T00:00:00"/>
        <d v="2013-03-05T00:00:00"/>
        <d v="2013-07-17T00:00:00"/>
        <d v="2014-07-26T00:00:00"/>
        <d v="2013-07-13T00:00:00"/>
        <d v="2013-10-13T00:00:00"/>
        <d v="2014-01-18T00:00:00"/>
        <d v="2013-03-23T00:00:00"/>
        <d v="2014-06-04T00:00:00"/>
        <d v="2013-05-23T00:00:00"/>
        <d v="2014-07-19T00:00:00"/>
        <d v="2014-04-08T00:00:00"/>
        <d v="2013-12-02T00:00:00"/>
        <d v="2013-11-13T00:00:00"/>
        <d v="2013-02-28T00:00:00"/>
        <d v="2013-09-29T00:00:00"/>
        <d v="2013-05-31T00:00:00"/>
        <d v="2014-07-22T00:00:00"/>
        <d v="2013-11-07T00:00:00"/>
        <d v="2013-12-07T00:00:00"/>
        <d v="2013-07-01T00:00:00"/>
        <d v="2014-10-14T00:00:00"/>
        <d v="2014-06-24T00:00:00"/>
        <d v="2013-04-21T00:00:00"/>
        <d v="2013-10-28T00:00:00"/>
        <d v="2014-10-31T00:00:00"/>
        <d v="2014-01-25T00:00:00"/>
        <d v="2014-06-23T00:00:00"/>
        <d v="2013-03-28T00:00:00"/>
        <d v="2014-06-28T00:00:00"/>
        <d v="2013-02-11T00:00:00"/>
        <d v="2013-02-04T00:00:00"/>
        <d v="2013-10-26T00:00:00"/>
        <d v="2013-11-04T00:00:00"/>
        <d v="2014-06-01T00:00:00"/>
        <d v="2014-02-18T00:00:00"/>
        <d v="2014-10-22T00:00:00"/>
        <d v="2014-08-08T00:00:00"/>
        <d v="2014-08-16T00:00:00"/>
        <d v="2014-09-08T00:00:00"/>
        <d v="2014-12-19T00:00:00"/>
        <d v="2014-03-13T00:00:00"/>
        <d v="2014-05-07T00:00:00"/>
        <d v="2013-01-26T00:00:00"/>
        <d v="2013-09-10T00:00:00"/>
        <d v="2014-05-08T00:00:00"/>
        <d v="2013-06-05T00:00:00"/>
        <d v="2014-05-13T00:00:00"/>
        <d v="2014-11-01T00:00:00"/>
        <d v="2014-09-10T00:00:00"/>
        <d v="2013-08-24T00:00:00"/>
        <d v="2014-05-23T00:00:00"/>
        <d v="2013-05-09T00:00:00"/>
        <d v="2013-01-23T00:00:00"/>
        <d v="2014-10-05T00:00:00"/>
        <d v="2013-05-16T00:00:00"/>
        <d v="2014-03-02T00:00:00"/>
        <d v="2014-01-24T00:00:00"/>
        <d v="2014-09-23T00:00:00"/>
        <d v="2013-05-25T00:00:00"/>
        <d v="2013-10-21T00:00:00"/>
        <d v="2014-03-03T00:00:00"/>
        <d v="2013-09-18T00:00:00"/>
        <d v="2013-03-21T00:00:00"/>
        <d v="2013-10-24T00:00:00"/>
        <d v="2013-02-07T00:00:00"/>
        <d v="2014-10-15T00:00:00"/>
        <d v="2014-12-11T00:00:00"/>
        <d v="2014-07-10T00:00:00"/>
        <d v="2013-12-04T00:00:00"/>
        <d v="2014-10-18T00:00:00"/>
        <d v="2014-05-06T00:00:00"/>
        <d v="2014-11-10T00:00:00"/>
        <d v="2013-12-22T00:00:00"/>
        <d v="2014-04-10T00:00:00"/>
        <d v="2014-09-13T00:00:00"/>
        <d v="2014-05-11T00:00:00"/>
        <d v="2014-01-28T00:00:00"/>
        <d v="2014-08-17T00:00:00"/>
        <d v="2014-08-26T00:00:00"/>
        <d v="2013-06-25T00:00:00"/>
        <d v="2014-03-29T00:00:00"/>
        <d v="2013-04-24T00:00:00"/>
        <d v="2013-09-12T00:00:00"/>
      </sharedItems>
      <fieldGroup base="0">
        <rangePr groupBy="years" startDate="2013-01-01T00:00:00" endDate="2014-12-31T00:00:00"/>
        <groupItems count="4">
          <s v="&lt;01.01.2013"/>
          <s v="2013"/>
          <s v="2014"/>
          <s v="&gt;31.12.2014"/>
        </groupItems>
      </fieldGroup>
    </cacheField>
    <cacheField name="Quartal" numFmtId="0">
      <sharedItems containsSemiMixedTypes="0" containsString="0" containsNumber="1" containsInteger="1" minValue="1" maxValue="4" count="4">
        <n v="2"/>
        <n v="3"/>
        <n v="1"/>
        <n v="4"/>
      </sharedItems>
    </cacheField>
    <cacheField name="Standort" numFmtId="0">
      <sharedItems count="8">
        <s v="München"/>
        <s v="Dresden"/>
        <s v="Bremen"/>
        <s v="Berlin"/>
        <s v="Düsseldorf"/>
        <s v="Hamburg"/>
        <s v="Köln"/>
        <s v="Stuttgart"/>
      </sharedItems>
    </cacheField>
    <cacheField name="Region" numFmtId="0">
      <sharedItems count="4">
        <s v="Süd"/>
        <s v="Ost"/>
        <s v="Nord"/>
        <s v="West"/>
      </sharedItems>
    </cacheField>
    <cacheField name="Kostenart" numFmtId="0">
      <sharedItems count="8">
        <s v="Sonstige"/>
        <s v="Wartung"/>
        <s v="Sachkosten"/>
        <s v="Personal"/>
        <s v="Versicherung"/>
        <s v="Reise"/>
        <s v="Material"/>
        <s v="ext. DL"/>
      </sharedItems>
    </cacheField>
    <cacheField name="Kosten" numFmtId="4">
      <sharedItems containsSemiMixedTypes="0" containsString="0" containsNumber="1" minValue="92.36" maxValue="3970.4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Dietmar Gieringer" refreshedDate="41553.494178009256" createdVersion="5" refreshedVersion="5" minRefreshableVersion="3" recordCount="600">
  <cacheSource type="worksheet">
    <worksheetSource name="tblFilter"/>
  </cacheSource>
  <cacheFields count="6">
    <cacheField name="Datum" numFmtId="14">
      <sharedItems containsSemiMixedTypes="0" containsNonDate="0" containsDate="1" containsString="0" minDate="2013-01-01T00:00:00" maxDate="2014-12-31T00:00:00" count="414">
        <d v="2013-06-17T00:00:00"/>
        <d v="2014-05-27T00:00:00"/>
        <d v="2013-09-20T00:00:00"/>
        <d v="2013-02-12T00:00:00"/>
        <d v="2013-10-11T00:00:00"/>
        <d v="2014-06-19T00:00:00"/>
        <d v="2014-12-29T00:00:00"/>
        <d v="2013-06-13T00:00:00"/>
        <d v="2014-12-09T00:00:00"/>
        <d v="2014-06-25T00:00:00"/>
        <d v="2014-12-28T00:00:00"/>
        <d v="2013-09-28T00:00:00"/>
        <d v="2014-03-20T00:00:00"/>
        <d v="2014-06-11T00:00:00"/>
        <d v="2014-11-28T00:00:00"/>
        <d v="2013-12-12T00:00:00"/>
        <d v="2014-05-28T00:00:00"/>
        <d v="2014-07-03T00:00:00"/>
        <d v="2014-04-17T00:00:00"/>
        <d v="2014-09-24T00:00:00"/>
        <d v="2014-03-30T00:00:00"/>
        <d v="2013-12-24T00:00:00"/>
        <d v="2014-09-02T00:00:00"/>
        <d v="2013-11-30T00:00:00"/>
        <d v="2013-08-02T00:00:00"/>
        <d v="2014-02-21T00:00:00"/>
        <d v="2014-12-15T00:00:00"/>
        <d v="2013-09-08T00:00:00"/>
        <d v="2014-08-24T00:00:00"/>
        <d v="2013-07-11T00:00:00"/>
        <d v="2013-06-18T00:00:00"/>
        <d v="2014-10-01T00:00:00"/>
        <d v="2014-11-08T00:00:00"/>
        <d v="2014-10-29T00:00:00"/>
        <d v="2014-09-27T00:00:00"/>
        <d v="2013-10-04T00:00:00"/>
        <d v="2013-03-08T00:00:00"/>
        <d v="2014-09-20T00:00:00"/>
        <d v="2013-03-30T00:00:00"/>
        <d v="2013-04-23T00:00:00"/>
        <d v="2014-05-24T00:00:00"/>
        <d v="2014-12-10T00:00:00"/>
        <d v="2014-02-11T00:00:00"/>
        <d v="2014-06-26T00:00:00"/>
        <d v="2014-07-31T00:00:00"/>
        <d v="2014-12-20T00:00:00"/>
        <d v="2013-10-08T00:00:00"/>
        <d v="2014-10-20T00:00:00"/>
        <d v="2013-08-15T00:00:00"/>
        <d v="2014-03-06T00:00:00"/>
        <d v="2014-04-24T00:00:00"/>
        <d v="2013-05-28T00:00:00"/>
        <d v="2013-09-14T00:00:00"/>
        <d v="2014-02-08T00:00:00"/>
        <d v="2014-06-12T00:00:00"/>
        <d v="2013-06-23T00:00:00"/>
        <d v="2013-04-28T00:00:00"/>
        <d v="2013-06-29T00:00:00"/>
        <d v="2014-10-10T00:00:00"/>
        <d v="2013-12-05T00:00:00"/>
        <d v="2013-12-10T00:00:00"/>
        <d v="2013-01-10T00:00:00"/>
        <d v="2013-03-09T00:00:00"/>
        <d v="2013-11-03T00:00:00"/>
        <d v="2013-01-03T00:00:00"/>
        <d v="2014-06-14T00:00:00"/>
        <d v="2014-11-29T00:00:00"/>
        <d v="2014-08-02T00:00:00"/>
        <d v="2013-12-31T00:00:00"/>
        <d v="2013-11-08T00:00:00"/>
        <d v="2014-06-03T00:00:00"/>
        <d v="2014-07-06T00:00:00"/>
        <d v="2013-06-04T00:00:00"/>
        <d v="2013-12-09T00:00:00"/>
        <d v="2014-10-23T00:00:00"/>
        <d v="2013-01-17T00:00:00"/>
        <d v="2013-10-30T00:00:00"/>
        <d v="2013-12-06T00:00:00"/>
        <d v="2014-03-10T00:00:00"/>
        <d v="2013-12-21T00:00:00"/>
        <d v="2014-11-14T00:00:00"/>
        <d v="2013-05-06T00:00:00"/>
        <d v="2013-01-21T00:00:00"/>
        <d v="2013-07-18T00:00:00"/>
        <d v="2014-09-29T00:00:00"/>
        <d v="2013-02-16T00:00:00"/>
        <d v="2014-01-11T00:00:00"/>
        <d v="2013-05-24T00:00:00"/>
        <d v="2014-01-12T00:00:00"/>
        <d v="2013-05-08T00:00:00"/>
        <d v="2014-08-13T00:00:00"/>
        <d v="2014-10-09T00:00:00"/>
        <d v="2014-04-13T00:00:00"/>
        <d v="2013-08-12T00:00:00"/>
        <d v="2014-11-25T00:00:00"/>
        <d v="2014-07-27T00:00:00"/>
        <d v="2014-04-28T00:00:00"/>
        <d v="2013-10-16T00:00:00"/>
        <d v="2014-09-07T00:00:00"/>
        <d v="2014-04-07T00:00:00"/>
        <d v="2013-03-16T00:00:00"/>
        <d v="2014-05-14T00:00:00"/>
        <d v="2014-07-01T00:00:00"/>
        <d v="2014-05-26T00:00:00"/>
        <d v="2013-02-03T00:00:00"/>
        <d v="2013-09-24T00:00:00"/>
        <d v="2014-10-26T00:00:00"/>
        <d v="2014-05-04T00:00:00"/>
        <d v="2013-02-14T00:00:00"/>
        <d v="2013-01-24T00:00:00"/>
        <d v="2013-04-12T00:00:00"/>
        <d v="2014-12-18T00:00:00"/>
        <d v="2014-10-30T00:00:00"/>
        <d v="2013-07-10T00:00:00"/>
        <d v="2014-11-05T00:00:00"/>
        <d v="2013-11-11T00:00:00"/>
        <d v="2013-09-01T00:00:00"/>
        <d v="2014-04-11T00:00:00"/>
        <d v="2013-11-26T00:00:00"/>
        <d v="2013-12-15T00:00:00"/>
        <d v="2013-11-17T00:00:00"/>
        <d v="2013-10-15T00:00:00"/>
        <d v="2013-09-09T00:00:00"/>
        <d v="2014-05-10T00:00:00"/>
        <d v="2014-06-15T00:00:00"/>
        <d v="2014-05-12T00:00:00"/>
        <d v="2014-04-30T00:00:00"/>
        <d v="2013-07-22T00:00:00"/>
        <d v="2013-09-17T00:00:00"/>
        <d v="2014-07-24T00:00:00"/>
        <d v="2013-11-01T00:00:00"/>
        <d v="2013-08-30T00:00:00"/>
        <d v="2014-10-24T00:00:00"/>
        <d v="2014-08-25T00:00:00"/>
        <d v="2013-06-12T00:00:00"/>
        <d v="2013-07-28T00:00:00"/>
        <d v="2014-01-13T00:00:00"/>
        <d v="2014-05-21T00:00:00"/>
        <d v="2013-04-11T00:00:00"/>
        <d v="2014-12-08T00:00:00"/>
        <d v="2013-09-27T00:00:00"/>
        <d v="2013-08-18T00:00:00"/>
        <d v="2014-04-01T00:00:00"/>
        <d v="2013-09-19T00:00:00"/>
        <d v="2013-01-07T00:00:00"/>
        <d v="2014-09-18T00:00:00"/>
        <d v="2013-07-06T00:00:00"/>
        <d v="2013-08-10T00:00:00"/>
        <d v="2013-09-16T00:00:00"/>
        <d v="2013-07-15T00:00:00"/>
        <d v="2014-03-01T00:00:00"/>
        <d v="2014-11-30T00:00:00"/>
        <d v="2014-12-13T00:00:00"/>
        <d v="2014-01-06T00:00:00"/>
        <d v="2013-07-26T00:00:00"/>
        <d v="2013-11-06T00:00:00"/>
        <d v="2014-09-06T00:00:00"/>
        <d v="2014-01-03T00:00:00"/>
        <d v="2013-06-10T00:00:00"/>
        <d v="2013-07-14T00:00:00"/>
        <d v="2014-11-04T00:00:00"/>
        <d v="2014-01-05T00:00:00"/>
        <d v="2014-10-28T00:00:00"/>
        <d v="2013-05-26T00:00:00"/>
        <d v="2013-12-26T00:00:00"/>
        <d v="2014-05-20T00:00:00"/>
        <d v="2014-10-17T00:00:00"/>
        <d v="2013-03-02T00:00:00"/>
        <d v="2013-04-06T00:00:00"/>
        <d v="2013-10-01T00:00:00"/>
        <d v="2013-02-01T00:00:00"/>
        <d v="2013-03-19T00:00:00"/>
        <d v="2013-01-30T00:00:00"/>
        <d v="2014-01-22T00:00:00"/>
        <d v="2013-04-13T00:00:00"/>
        <d v="2014-12-16T00:00:00"/>
        <d v="2013-06-20T00:00:00"/>
        <d v="2014-03-17T00:00:00"/>
        <d v="2014-10-03T00:00:00"/>
        <d v="2013-01-22T00:00:00"/>
        <d v="2013-08-03T00:00:00"/>
        <d v="2013-01-31T00:00:00"/>
        <d v="2013-08-29T00:00:00"/>
        <d v="2013-07-02T00:00:00"/>
        <d v="2014-06-22T00:00:00"/>
        <d v="2013-04-22T00:00:00"/>
        <d v="2014-05-05T00:00:00"/>
        <d v="2013-01-19T00:00:00"/>
        <d v="2014-04-09T00:00:00"/>
        <d v="2013-04-08T00:00:00"/>
        <d v="2013-12-18T00:00:00"/>
        <d v="2013-08-05T00:00:00"/>
        <d v="2013-03-27T00:00:00"/>
        <d v="2013-05-07T00:00:00"/>
        <d v="2013-07-27T00:00:00"/>
        <d v="2014-09-30T00:00:00"/>
        <d v="2013-06-07T00:00:00"/>
        <d v="2013-01-15T00:00:00"/>
        <d v="2014-08-04T00:00:00"/>
        <d v="2014-09-14T00:00:00"/>
        <d v="2014-06-02T00:00:00"/>
        <d v="2013-12-03T00:00:00"/>
        <d v="2013-10-22T00:00:00"/>
        <d v="2014-02-25T00:00:00"/>
        <d v="2014-02-28T00:00:00"/>
        <d v="2014-01-20T00:00:00"/>
        <d v="2014-01-09T00:00:00"/>
        <d v="2013-03-31T00:00:00"/>
        <d v="2014-11-22T00:00:00"/>
        <d v="2014-07-17T00:00:00"/>
        <d v="2013-11-10T00:00:00"/>
        <d v="2014-03-24T00:00:00"/>
        <d v="2013-06-19T00:00:00"/>
        <d v="2013-01-08T00:00:00"/>
        <d v="2013-08-07T00:00:00"/>
        <d v="2014-09-28T00:00:00"/>
        <d v="2014-08-12T00:00:00"/>
        <d v="2014-12-30T00:00:00"/>
        <d v="2014-04-02T00:00:00"/>
        <d v="2014-12-21T00:00:00"/>
        <d v="2013-06-28T00:00:00"/>
        <d v="2014-08-19T00:00:00"/>
        <d v="2014-07-29T00:00:00"/>
        <d v="2014-03-25T00:00:00"/>
        <d v="2014-06-16T00:00:00"/>
        <d v="2013-01-20T00:00:00"/>
        <d v="2013-11-29T00:00:00"/>
        <d v="2014-07-18T00:00:00"/>
        <d v="2013-12-16T00:00:00"/>
        <d v="2014-04-06T00:00:00"/>
        <d v="2013-03-29T00:00:00"/>
        <d v="2014-05-25T00:00:00"/>
        <d v="2013-06-08T00:00:00"/>
        <d v="2013-11-16T00:00:00"/>
        <d v="2014-02-23T00:00:00"/>
        <d v="2013-04-03T00:00:00"/>
        <d v="2013-07-19T00:00:00"/>
        <d v="2014-03-18T00:00:00"/>
        <d v="2014-07-21T00:00:00"/>
        <d v="2013-03-14T00:00:00"/>
        <d v="2013-11-21T00:00:00"/>
        <d v="2014-02-26T00:00:00"/>
        <d v="2014-11-09T00:00:00"/>
        <d v="2014-05-29T00:00:00"/>
        <d v="2013-12-28T00:00:00"/>
        <d v="2014-12-04T00:00:00"/>
        <d v="2014-05-18T00:00:00"/>
        <d v="2014-09-22T00:00:00"/>
        <d v="2013-07-05T00:00:00"/>
        <d v="2014-07-25T00:00:00"/>
        <d v="2013-05-29T00:00:00"/>
        <d v="2013-04-16T00:00:00"/>
        <d v="2013-07-21T00:00:00"/>
        <d v="2013-11-25T00:00:00"/>
        <d v="2013-09-22T00:00:00"/>
        <d v="2014-06-27T00:00:00"/>
        <d v="2013-07-16T00:00:00"/>
        <d v="2013-10-19T00:00:00"/>
        <d v="2014-01-16T00:00:00"/>
        <d v="2013-04-19T00:00:00"/>
        <d v="2014-03-12T00:00:00"/>
        <d v="2014-12-26T00:00:00"/>
        <d v="2013-05-18T00:00:00"/>
        <d v="2013-01-01T00:00:00"/>
        <d v="2013-02-13T00:00:00"/>
        <d v="2014-09-04T00:00:00"/>
        <d v="2013-10-10T00:00:00"/>
        <d v="2014-01-31T00:00:00"/>
        <d v="2013-02-24T00:00:00"/>
        <d v="2014-04-25T00:00:00"/>
        <d v="2013-03-22T00:00:00"/>
        <d v="2014-08-06T00:00:00"/>
        <d v="2013-12-25T00:00:00"/>
        <d v="2014-07-09T00:00:00"/>
        <d v="2014-08-09T00:00:00"/>
        <d v="2014-01-21T00:00:00"/>
        <d v="2014-04-05T00:00:00"/>
        <d v="2014-09-21T00:00:00"/>
        <d v="2014-11-12T00:00:00"/>
        <d v="2013-06-06T00:00:00"/>
        <d v="2013-08-27T00:00:00"/>
        <d v="2013-07-07T00:00:00"/>
        <d v="2014-11-06T00:00:00"/>
        <d v="2014-07-13T00:00:00"/>
        <d v="2013-04-27T00:00:00"/>
        <d v="2013-08-04T00:00:00"/>
        <d v="2013-01-12T00:00:00"/>
        <d v="2014-11-03T00:00:00"/>
        <d v="2013-11-24T00:00:00"/>
        <d v="2013-07-25T00:00:00"/>
        <d v="2013-03-04T00:00:00"/>
        <d v="2013-06-02T00:00:00"/>
        <d v="2014-05-01T00:00:00"/>
        <d v="2013-05-13T00:00:00"/>
        <d v="2013-03-06T00:00:00"/>
        <d v="2013-04-02T00:00:00"/>
        <d v="2014-03-31T00:00:00"/>
        <d v="2014-02-10T00:00:00"/>
        <d v="2014-11-21T00:00:00"/>
        <d v="2014-10-06T00:00:00"/>
        <d v="2014-05-02T00:00:00"/>
        <d v="2013-04-25T00:00:00"/>
        <d v="2013-07-08T00:00:00"/>
        <d v="2014-02-03T00:00:00"/>
        <d v="2013-10-07T00:00:00"/>
        <d v="2014-01-10T00:00:00"/>
        <d v="2014-09-12T00:00:00"/>
        <d v="2013-01-29T00:00:00"/>
        <d v="2013-02-25T00:00:00"/>
        <d v="2014-07-14T00:00:00"/>
        <d v="2014-12-17T00:00:00"/>
        <d v="2014-11-27T00:00:00"/>
        <d v="2013-02-17T00:00:00"/>
        <d v="2014-07-16T00:00:00"/>
        <d v="2013-07-04T00:00:00"/>
        <d v="2014-11-19T00:00:00"/>
        <d v="2014-03-04T00:00:00"/>
        <d v="2014-08-15T00:00:00"/>
        <d v="2014-10-11T00:00:00"/>
        <d v="2013-08-20T00:00:00"/>
        <d v="2014-03-14T00:00:00"/>
        <d v="2013-04-09T00:00:00"/>
        <d v="2013-05-02T00:00:00"/>
        <d v="2014-02-22T00:00:00"/>
        <d v="2013-02-02T00:00:00"/>
        <d v="2014-11-24T00:00:00"/>
        <d v="2013-06-22T00:00:00"/>
        <d v="2013-02-05T00:00:00"/>
        <d v="2013-09-02T00:00:00"/>
        <d v="2013-12-29T00:00:00"/>
        <d v="2014-08-18T00:00:00"/>
        <d v="2013-03-05T00:00:00"/>
        <d v="2013-07-17T00:00:00"/>
        <d v="2014-07-26T00:00:00"/>
        <d v="2013-07-13T00:00:00"/>
        <d v="2013-10-13T00:00:00"/>
        <d v="2014-01-18T00:00:00"/>
        <d v="2013-03-23T00:00:00"/>
        <d v="2014-06-04T00:00:00"/>
        <d v="2013-05-23T00:00:00"/>
        <d v="2014-07-19T00:00:00"/>
        <d v="2014-04-08T00:00:00"/>
        <d v="2013-12-02T00:00:00"/>
        <d v="2013-11-13T00:00:00"/>
        <d v="2013-02-28T00:00:00"/>
        <d v="2013-09-29T00:00:00"/>
        <d v="2013-05-31T00:00:00"/>
        <d v="2014-07-22T00:00:00"/>
        <d v="2013-11-07T00:00:00"/>
        <d v="2013-12-07T00:00:00"/>
        <d v="2013-07-01T00:00:00"/>
        <d v="2014-10-14T00:00:00"/>
        <d v="2014-06-24T00:00:00"/>
        <d v="2013-04-21T00:00:00"/>
        <d v="2013-10-28T00:00:00"/>
        <d v="2014-10-31T00:00:00"/>
        <d v="2014-01-25T00:00:00"/>
        <d v="2014-06-23T00:00:00"/>
        <d v="2013-03-28T00:00:00"/>
        <d v="2014-06-28T00:00:00"/>
        <d v="2013-02-11T00:00:00"/>
        <d v="2013-02-04T00:00:00"/>
        <d v="2013-10-26T00:00:00"/>
        <d v="2013-11-04T00:00:00"/>
        <d v="2014-06-01T00:00:00"/>
        <d v="2014-02-18T00:00:00"/>
        <d v="2014-10-22T00:00:00"/>
        <d v="2014-08-08T00:00:00"/>
        <d v="2014-08-16T00:00:00"/>
        <d v="2014-09-08T00:00:00"/>
        <d v="2014-12-19T00:00:00"/>
        <d v="2014-03-13T00:00:00"/>
        <d v="2014-05-07T00:00:00"/>
        <d v="2013-01-26T00:00:00"/>
        <d v="2013-09-10T00:00:00"/>
        <d v="2014-05-08T00:00:00"/>
        <d v="2013-06-05T00:00:00"/>
        <d v="2014-05-13T00:00:00"/>
        <d v="2014-11-01T00:00:00"/>
        <d v="2014-09-10T00:00:00"/>
        <d v="2013-08-24T00:00:00"/>
        <d v="2014-05-23T00:00:00"/>
        <d v="2013-05-09T00:00:00"/>
        <d v="2013-01-23T00:00:00"/>
        <d v="2014-10-05T00:00:00"/>
        <d v="2013-05-16T00:00:00"/>
        <d v="2014-03-02T00:00:00"/>
        <d v="2014-01-24T00:00:00"/>
        <d v="2014-09-23T00:00:00"/>
        <d v="2013-05-25T00:00:00"/>
        <d v="2013-10-21T00:00:00"/>
        <d v="2014-03-03T00:00:00"/>
        <d v="2013-09-18T00:00:00"/>
        <d v="2013-03-21T00:00:00"/>
        <d v="2013-10-24T00:00:00"/>
        <d v="2013-02-07T00:00:00"/>
        <d v="2014-10-15T00:00:00"/>
        <d v="2014-12-11T00:00:00"/>
        <d v="2014-07-10T00:00:00"/>
        <d v="2013-12-04T00:00:00"/>
        <d v="2014-10-18T00:00:00"/>
        <d v="2014-05-06T00:00:00"/>
        <d v="2014-11-10T00:00:00"/>
        <d v="2013-12-22T00:00:00"/>
        <d v="2014-04-10T00:00:00"/>
        <d v="2014-09-13T00:00:00"/>
        <d v="2014-05-11T00:00:00"/>
        <d v="2014-01-28T00:00:00"/>
        <d v="2014-08-17T00:00:00"/>
        <d v="2014-08-26T00:00:00"/>
        <d v="2013-06-25T00:00:00"/>
        <d v="2014-03-29T00:00:00"/>
        <d v="2013-04-24T00:00:00"/>
        <d v="2013-09-12T00:00:00"/>
      </sharedItems>
      <fieldGroup base="0">
        <rangePr groupBy="years" startDate="2013-01-01T00:00:00" endDate="2014-12-31T00:00:00"/>
        <groupItems count="4">
          <s v="&lt;01.01.2013"/>
          <s v="2013"/>
          <s v="2014"/>
          <s v="&gt;31.12.2014"/>
        </groupItems>
      </fieldGroup>
    </cacheField>
    <cacheField name="Quartal" numFmtId="0">
      <sharedItems containsSemiMixedTypes="0" containsString="0" containsNumber="1" containsInteger="1" minValue="1" maxValue="4" count="4">
        <n v="2"/>
        <n v="3"/>
        <n v="1"/>
        <n v="4"/>
      </sharedItems>
    </cacheField>
    <cacheField name="Standort" numFmtId="0">
      <sharedItems count="8">
        <s v="München"/>
        <s v="Dresden"/>
        <s v="Bremen"/>
        <s v="Berlin"/>
        <s v="Düsseldorf"/>
        <s v="Hamburg"/>
        <s v="Köln"/>
        <s v="Stuttgart"/>
      </sharedItems>
    </cacheField>
    <cacheField name="Region" numFmtId="0">
      <sharedItems count="4">
        <s v="Süd"/>
        <s v="Ost"/>
        <s v="Nord"/>
        <s v="West"/>
      </sharedItems>
    </cacheField>
    <cacheField name="Kostenart" numFmtId="0">
      <sharedItems count="8">
        <s v="Sonstige"/>
        <s v="Wartung"/>
        <s v="Sachkosten"/>
        <s v="Personal"/>
        <s v="Versicherung"/>
        <s v="Reise"/>
        <s v="Material"/>
        <s v="ext. DL"/>
      </sharedItems>
    </cacheField>
    <cacheField name="Kosten" numFmtId="4">
      <sharedItems containsSemiMixedTypes="0" containsString="0" containsNumber="1" minValue="92.36" maxValue="3970.44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00">
  <r>
    <x v="0"/>
    <x v="0"/>
    <x v="0"/>
    <x v="0"/>
    <x v="0"/>
    <n v="378.45"/>
  </r>
  <r>
    <x v="1"/>
    <x v="0"/>
    <x v="1"/>
    <x v="1"/>
    <x v="1"/>
    <n v="1810.38"/>
  </r>
  <r>
    <x v="2"/>
    <x v="1"/>
    <x v="2"/>
    <x v="2"/>
    <x v="2"/>
    <n v="1153.96"/>
  </r>
  <r>
    <x v="3"/>
    <x v="2"/>
    <x v="1"/>
    <x v="1"/>
    <x v="3"/>
    <n v="2083.9299999999998"/>
  </r>
  <r>
    <x v="4"/>
    <x v="3"/>
    <x v="1"/>
    <x v="1"/>
    <x v="4"/>
    <n v="627"/>
  </r>
  <r>
    <x v="5"/>
    <x v="0"/>
    <x v="3"/>
    <x v="1"/>
    <x v="1"/>
    <n v="442.77"/>
  </r>
  <r>
    <x v="6"/>
    <x v="3"/>
    <x v="4"/>
    <x v="3"/>
    <x v="1"/>
    <n v="1459.65"/>
  </r>
  <r>
    <x v="7"/>
    <x v="0"/>
    <x v="1"/>
    <x v="1"/>
    <x v="1"/>
    <n v="1073.18"/>
  </r>
  <r>
    <x v="8"/>
    <x v="3"/>
    <x v="2"/>
    <x v="2"/>
    <x v="4"/>
    <n v="706.03"/>
  </r>
  <r>
    <x v="9"/>
    <x v="0"/>
    <x v="2"/>
    <x v="2"/>
    <x v="3"/>
    <n v="1519.22"/>
  </r>
  <r>
    <x v="10"/>
    <x v="3"/>
    <x v="5"/>
    <x v="2"/>
    <x v="0"/>
    <n v="1217.73"/>
  </r>
  <r>
    <x v="11"/>
    <x v="1"/>
    <x v="6"/>
    <x v="3"/>
    <x v="3"/>
    <n v="2242.6"/>
  </r>
  <r>
    <x v="12"/>
    <x v="2"/>
    <x v="6"/>
    <x v="3"/>
    <x v="0"/>
    <n v="834.45"/>
  </r>
  <r>
    <x v="13"/>
    <x v="0"/>
    <x v="5"/>
    <x v="2"/>
    <x v="5"/>
    <n v="227.27"/>
  </r>
  <r>
    <x v="14"/>
    <x v="3"/>
    <x v="6"/>
    <x v="3"/>
    <x v="1"/>
    <n v="1625.66"/>
  </r>
  <r>
    <x v="15"/>
    <x v="3"/>
    <x v="4"/>
    <x v="3"/>
    <x v="6"/>
    <n v="1443.02"/>
  </r>
  <r>
    <x v="16"/>
    <x v="0"/>
    <x v="2"/>
    <x v="2"/>
    <x v="0"/>
    <n v="644.6"/>
  </r>
  <r>
    <x v="17"/>
    <x v="1"/>
    <x v="2"/>
    <x v="2"/>
    <x v="1"/>
    <n v="886.38"/>
  </r>
  <r>
    <x v="18"/>
    <x v="0"/>
    <x v="7"/>
    <x v="0"/>
    <x v="0"/>
    <n v="228.24"/>
  </r>
  <r>
    <x v="19"/>
    <x v="1"/>
    <x v="3"/>
    <x v="1"/>
    <x v="1"/>
    <n v="741.85"/>
  </r>
  <r>
    <x v="20"/>
    <x v="2"/>
    <x v="4"/>
    <x v="3"/>
    <x v="7"/>
    <n v="2201.5100000000002"/>
  </r>
  <r>
    <x v="21"/>
    <x v="3"/>
    <x v="1"/>
    <x v="1"/>
    <x v="0"/>
    <n v="1946.35"/>
  </r>
  <r>
    <x v="22"/>
    <x v="1"/>
    <x v="7"/>
    <x v="0"/>
    <x v="2"/>
    <n v="1450.11"/>
  </r>
  <r>
    <x v="23"/>
    <x v="3"/>
    <x v="3"/>
    <x v="1"/>
    <x v="6"/>
    <n v="2302.2399999999998"/>
  </r>
  <r>
    <x v="24"/>
    <x v="1"/>
    <x v="4"/>
    <x v="3"/>
    <x v="5"/>
    <n v="642.42999999999995"/>
  </r>
  <r>
    <x v="25"/>
    <x v="2"/>
    <x v="4"/>
    <x v="3"/>
    <x v="1"/>
    <n v="952.24"/>
  </r>
  <r>
    <x v="26"/>
    <x v="3"/>
    <x v="2"/>
    <x v="2"/>
    <x v="0"/>
    <n v="1591.12"/>
  </r>
  <r>
    <x v="27"/>
    <x v="1"/>
    <x v="1"/>
    <x v="1"/>
    <x v="2"/>
    <n v="218.06"/>
  </r>
  <r>
    <x v="28"/>
    <x v="1"/>
    <x v="3"/>
    <x v="1"/>
    <x v="2"/>
    <n v="347.19"/>
  </r>
  <r>
    <x v="29"/>
    <x v="1"/>
    <x v="1"/>
    <x v="1"/>
    <x v="3"/>
    <n v="1867"/>
  </r>
  <r>
    <x v="30"/>
    <x v="0"/>
    <x v="1"/>
    <x v="1"/>
    <x v="4"/>
    <n v="119.97"/>
  </r>
  <r>
    <x v="31"/>
    <x v="3"/>
    <x v="3"/>
    <x v="1"/>
    <x v="6"/>
    <n v="319.12"/>
  </r>
  <r>
    <x v="32"/>
    <x v="3"/>
    <x v="7"/>
    <x v="0"/>
    <x v="0"/>
    <n v="1301.71"/>
  </r>
  <r>
    <x v="33"/>
    <x v="3"/>
    <x v="2"/>
    <x v="2"/>
    <x v="4"/>
    <n v="229.14"/>
  </r>
  <r>
    <x v="34"/>
    <x v="1"/>
    <x v="0"/>
    <x v="0"/>
    <x v="5"/>
    <n v="389.25"/>
  </r>
  <r>
    <x v="35"/>
    <x v="3"/>
    <x v="5"/>
    <x v="2"/>
    <x v="3"/>
    <n v="1577.18"/>
  </r>
  <r>
    <x v="36"/>
    <x v="2"/>
    <x v="4"/>
    <x v="3"/>
    <x v="6"/>
    <n v="3028.88"/>
  </r>
  <r>
    <x v="37"/>
    <x v="1"/>
    <x v="5"/>
    <x v="2"/>
    <x v="7"/>
    <n v="2532.62"/>
  </r>
  <r>
    <x v="38"/>
    <x v="2"/>
    <x v="1"/>
    <x v="1"/>
    <x v="4"/>
    <n v="130.04"/>
  </r>
  <r>
    <x v="39"/>
    <x v="0"/>
    <x v="2"/>
    <x v="2"/>
    <x v="3"/>
    <n v="246.57"/>
  </r>
  <r>
    <x v="40"/>
    <x v="0"/>
    <x v="1"/>
    <x v="1"/>
    <x v="3"/>
    <n v="2850.7"/>
  </r>
  <r>
    <x v="41"/>
    <x v="3"/>
    <x v="3"/>
    <x v="1"/>
    <x v="5"/>
    <n v="615.6"/>
  </r>
  <r>
    <x v="42"/>
    <x v="2"/>
    <x v="3"/>
    <x v="1"/>
    <x v="3"/>
    <n v="2396.1799999999998"/>
  </r>
  <r>
    <x v="43"/>
    <x v="0"/>
    <x v="5"/>
    <x v="2"/>
    <x v="3"/>
    <n v="2408.0500000000002"/>
  </r>
  <r>
    <x v="44"/>
    <x v="1"/>
    <x v="2"/>
    <x v="2"/>
    <x v="0"/>
    <n v="1084.23"/>
  </r>
  <r>
    <x v="4"/>
    <x v="3"/>
    <x v="6"/>
    <x v="3"/>
    <x v="3"/>
    <n v="1504.43"/>
  </r>
  <r>
    <x v="45"/>
    <x v="3"/>
    <x v="0"/>
    <x v="0"/>
    <x v="3"/>
    <n v="1644.89"/>
  </r>
  <r>
    <x v="46"/>
    <x v="3"/>
    <x v="3"/>
    <x v="1"/>
    <x v="3"/>
    <n v="2209.9"/>
  </r>
  <r>
    <x v="47"/>
    <x v="3"/>
    <x v="2"/>
    <x v="2"/>
    <x v="2"/>
    <n v="817.91"/>
  </r>
  <r>
    <x v="48"/>
    <x v="1"/>
    <x v="0"/>
    <x v="0"/>
    <x v="2"/>
    <n v="572.27"/>
  </r>
  <r>
    <x v="49"/>
    <x v="2"/>
    <x v="6"/>
    <x v="3"/>
    <x v="3"/>
    <n v="1003.37"/>
  </r>
  <r>
    <x v="50"/>
    <x v="0"/>
    <x v="4"/>
    <x v="3"/>
    <x v="6"/>
    <n v="3792.66"/>
  </r>
  <r>
    <x v="51"/>
    <x v="0"/>
    <x v="7"/>
    <x v="0"/>
    <x v="3"/>
    <n v="2233.02"/>
  </r>
  <r>
    <x v="52"/>
    <x v="1"/>
    <x v="6"/>
    <x v="3"/>
    <x v="4"/>
    <n v="439.26"/>
  </r>
  <r>
    <x v="53"/>
    <x v="2"/>
    <x v="1"/>
    <x v="1"/>
    <x v="3"/>
    <n v="1676.77"/>
  </r>
  <r>
    <x v="54"/>
    <x v="0"/>
    <x v="6"/>
    <x v="3"/>
    <x v="2"/>
    <n v="911.51"/>
  </r>
  <r>
    <x v="55"/>
    <x v="0"/>
    <x v="0"/>
    <x v="0"/>
    <x v="3"/>
    <n v="2381.4899999999998"/>
  </r>
  <r>
    <x v="56"/>
    <x v="0"/>
    <x v="2"/>
    <x v="2"/>
    <x v="0"/>
    <n v="449.38"/>
  </r>
  <r>
    <x v="57"/>
    <x v="0"/>
    <x v="7"/>
    <x v="0"/>
    <x v="6"/>
    <n v="3206.5"/>
  </r>
  <r>
    <x v="58"/>
    <x v="3"/>
    <x v="1"/>
    <x v="1"/>
    <x v="3"/>
    <n v="1693.69"/>
  </r>
  <r>
    <x v="59"/>
    <x v="3"/>
    <x v="6"/>
    <x v="3"/>
    <x v="2"/>
    <n v="1957.73"/>
  </r>
  <r>
    <x v="60"/>
    <x v="3"/>
    <x v="7"/>
    <x v="0"/>
    <x v="1"/>
    <n v="1290.67"/>
  </r>
  <r>
    <x v="61"/>
    <x v="2"/>
    <x v="4"/>
    <x v="3"/>
    <x v="2"/>
    <n v="1907"/>
  </r>
  <r>
    <x v="62"/>
    <x v="2"/>
    <x v="6"/>
    <x v="3"/>
    <x v="3"/>
    <n v="1158.8699999999999"/>
  </r>
  <r>
    <x v="63"/>
    <x v="3"/>
    <x v="3"/>
    <x v="1"/>
    <x v="3"/>
    <n v="2807.97"/>
  </r>
  <r>
    <x v="64"/>
    <x v="2"/>
    <x v="0"/>
    <x v="0"/>
    <x v="6"/>
    <n v="1073.46"/>
  </r>
  <r>
    <x v="65"/>
    <x v="0"/>
    <x v="6"/>
    <x v="3"/>
    <x v="4"/>
    <n v="622.66999999999996"/>
  </r>
  <r>
    <x v="66"/>
    <x v="3"/>
    <x v="7"/>
    <x v="0"/>
    <x v="6"/>
    <n v="2629.12"/>
  </r>
  <r>
    <x v="67"/>
    <x v="1"/>
    <x v="4"/>
    <x v="3"/>
    <x v="7"/>
    <n v="2731.82"/>
  </r>
  <r>
    <x v="68"/>
    <x v="3"/>
    <x v="6"/>
    <x v="3"/>
    <x v="2"/>
    <n v="1519.23"/>
  </r>
  <r>
    <x v="69"/>
    <x v="3"/>
    <x v="1"/>
    <x v="1"/>
    <x v="0"/>
    <n v="995.56"/>
  </r>
  <r>
    <x v="70"/>
    <x v="0"/>
    <x v="2"/>
    <x v="2"/>
    <x v="1"/>
    <n v="914.54"/>
  </r>
  <r>
    <x v="71"/>
    <x v="1"/>
    <x v="5"/>
    <x v="2"/>
    <x v="0"/>
    <n v="1951.9"/>
  </r>
  <r>
    <x v="72"/>
    <x v="0"/>
    <x v="5"/>
    <x v="2"/>
    <x v="5"/>
    <n v="806.53"/>
  </r>
  <r>
    <x v="73"/>
    <x v="3"/>
    <x v="5"/>
    <x v="2"/>
    <x v="1"/>
    <n v="1243.1500000000001"/>
  </r>
  <r>
    <x v="71"/>
    <x v="1"/>
    <x v="7"/>
    <x v="0"/>
    <x v="5"/>
    <n v="1781.22"/>
  </r>
  <r>
    <x v="74"/>
    <x v="3"/>
    <x v="5"/>
    <x v="2"/>
    <x v="5"/>
    <n v="1593.28"/>
  </r>
  <r>
    <x v="75"/>
    <x v="2"/>
    <x v="2"/>
    <x v="2"/>
    <x v="7"/>
    <n v="2526.54"/>
  </r>
  <r>
    <x v="76"/>
    <x v="3"/>
    <x v="0"/>
    <x v="0"/>
    <x v="7"/>
    <n v="818.46"/>
  </r>
  <r>
    <x v="77"/>
    <x v="3"/>
    <x v="4"/>
    <x v="3"/>
    <x v="1"/>
    <n v="1143.33"/>
  </r>
  <r>
    <x v="78"/>
    <x v="2"/>
    <x v="2"/>
    <x v="2"/>
    <x v="6"/>
    <n v="218.88"/>
  </r>
  <r>
    <x v="79"/>
    <x v="3"/>
    <x v="1"/>
    <x v="1"/>
    <x v="7"/>
    <n v="1999.73"/>
  </r>
  <r>
    <x v="80"/>
    <x v="3"/>
    <x v="4"/>
    <x v="3"/>
    <x v="3"/>
    <n v="2526.25"/>
  </r>
  <r>
    <x v="36"/>
    <x v="2"/>
    <x v="4"/>
    <x v="3"/>
    <x v="2"/>
    <n v="1720.81"/>
  </r>
  <r>
    <x v="28"/>
    <x v="1"/>
    <x v="2"/>
    <x v="2"/>
    <x v="3"/>
    <n v="1091.58"/>
  </r>
  <r>
    <x v="81"/>
    <x v="0"/>
    <x v="5"/>
    <x v="2"/>
    <x v="5"/>
    <n v="724.91"/>
  </r>
  <r>
    <x v="82"/>
    <x v="2"/>
    <x v="2"/>
    <x v="2"/>
    <x v="2"/>
    <n v="866.09"/>
  </r>
  <r>
    <x v="83"/>
    <x v="1"/>
    <x v="2"/>
    <x v="2"/>
    <x v="7"/>
    <n v="1722.87"/>
  </r>
  <r>
    <x v="84"/>
    <x v="1"/>
    <x v="6"/>
    <x v="3"/>
    <x v="5"/>
    <n v="1773.4"/>
  </r>
  <r>
    <x v="85"/>
    <x v="2"/>
    <x v="7"/>
    <x v="0"/>
    <x v="4"/>
    <n v="767.04"/>
  </r>
  <r>
    <x v="86"/>
    <x v="2"/>
    <x v="7"/>
    <x v="0"/>
    <x v="6"/>
    <n v="812.06"/>
  </r>
  <r>
    <x v="87"/>
    <x v="0"/>
    <x v="5"/>
    <x v="2"/>
    <x v="4"/>
    <n v="370"/>
  </r>
  <r>
    <x v="88"/>
    <x v="2"/>
    <x v="5"/>
    <x v="2"/>
    <x v="2"/>
    <n v="1905.4"/>
  </r>
  <r>
    <x v="89"/>
    <x v="0"/>
    <x v="2"/>
    <x v="2"/>
    <x v="6"/>
    <n v="377.44"/>
  </r>
  <r>
    <x v="90"/>
    <x v="1"/>
    <x v="7"/>
    <x v="0"/>
    <x v="1"/>
    <n v="1669.18"/>
  </r>
  <r>
    <x v="19"/>
    <x v="1"/>
    <x v="4"/>
    <x v="3"/>
    <x v="5"/>
    <n v="1868.6"/>
  </r>
  <r>
    <x v="91"/>
    <x v="3"/>
    <x v="1"/>
    <x v="1"/>
    <x v="0"/>
    <n v="1921.91"/>
  </r>
  <r>
    <x v="92"/>
    <x v="0"/>
    <x v="6"/>
    <x v="3"/>
    <x v="3"/>
    <n v="2120.23"/>
  </r>
  <r>
    <x v="93"/>
    <x v="1"/>
    <x v="3"/>
    <x v="1"/>
    <x v="0"/>
    <n v="584.02"/>
  </r>
  <r>
    <x v="94"/>
    <x v="3"/>
    <x v="0"/>
    <x v="0"/>
    <x v="4"/>
    <n v="778.02"/>
  </r>
  <r>
    <x v="3"/>
    <x v="2"/>
    <x v="7"/>
    <x v="0"/>
    <x v="3"/>
    <n v="1965.43"/>
  </r>
  <r>
    <x v="95"/>
    <x v="1"/>
    <x v="3"/>
    <x v="1"/>
    <x v="6"/>
    <n v="1354.8"/>
  </r>
  <r>
    <x v="96"/>
    <x v="0"/>
    <x v="6"/>
    <x v="3"/>
    <x v="2"/>
    <n v="439.05"/>
  </r>
  <r>
    <x v="97"/>
    <x v="3"/>
    <x v="4"/>
    <x v="3"/>
    <x v="4"/>
    <n v="434.17"/>
  </r>
  <r>
    <x v="98"/>
    <x v="1"/>
    <x v="0"/>
    <x v="0"/>
    <x v="4"/>
    <n v="205.61"/>
  </r>
  <r>
    <x v="99"/>
    <x v="0"/>
    <x v="2"/>
    <x v="2"/>
    <x v="3"/>
    <n v="1502.87"/>
  </r>
  <r>
    <x v="1"/>
    <x v="0"/>
    <x v="6"/>
    <x v="3"/>
    <x v="3"/>
    <n v="2132.06"/>
  </r>
  <r>
    <x v="100"/>
    <x v="2"/>
    <x v="5"/>
    <x v="2"/>
    <x v="7"/>
    <n v="2815.7"/>
  </r>
  <r>
    <x v="101"/>
    <x v="0"/>
    <x v="0"/>
    <x v="0"/>
    <x v="4"/>
    <n v="733.63"/>
  </r>
  <r>
    <x v="102"/>
    <x v="1"/>
    <x v="7"/>
    <x v="0"/>
    <x v="2"/>
    <n v="335.17"/>
  </r>
  <r>
    <x v="103"/>
    <x v="0"/>
    <x v="3"/>
    <x v="1"/>
    <x v="6"/>
    <n v="2037.02"/>
  </r>
  <r>
    <x v="104"/>
    <x v="2"/>
    <x v="3"/>
    <x v="1"/>
    <x v="6"/>
    <n v="692.4"/>
  </r>
  <r>
    <x v="0"/>
    <x v="0"/>
    <x v="5"/>
    <x v="2"/>
    <x v="7"/>
    <n v="2749.29"/>
  </r>
  <r>
    <x v="105"/>
    <x v="1"/>
    <x v="1"/>
    <x v="1"/>
    <x v="3"/>
    <n v="1294.82"/>
  </r>
  <r>
    <x v="106"/>
    <x v="3"/>
    <x v="6"/>
    <x v="3"/>
    <x v="4"/>
    <n v="464.78"/>
  </r>
  <r>
    <x v="107"/>
    <x v="0"/>
    <x v="0"/>
    <x v="0"/>
    <x v="0"/>
    <n v="452.51"/>
  </r>
  <r>
    <x v="108"/>
    <x v="2"/>
    <x v="5"/>
    <x v="2"/>
    <x v="0"/>
    <n v="708.59"/>
  </r>
  <r>
    <x v="109"/>
    <x v="2"/>
    <x v="5"/>
    <x v="2"/>
    <x v="2"/>
    <n v="795.71"/>
  </r>
  <r>
    <x v="110"/>
    <x v="0"/>
    <x v="2"/>
    <x v="2"/>
    <x v="7"/>
    <n v="1060.46"/>
  </r>
  <r>
    <x v="111"/>
    <x v="3"/>
    <x v="0"/>
    <x v="0"/>
    <x v="6"/>
    <n v="470.92"/>
  </r>
  <r>
    <x v="112"/>
    <x v="3"/>
    <x v="3"/>
    <x v="1"/>
    <x v="3"/>
    <n v="473.52"/>
  </r>
  <r>
    <x v="113"/>
    <x v="1"/>
    <x v="5"/>
    <x v="2"/>
    <x v="1"/>
    <n v="916.69"/>
  </r>
  <r>
    <x v="114"/>
    <x v="3"/>
    <x v="2"/>
    <x v="2"/>
    <x v="2"/>
    <n v="1364.45"/>
  </r>
  <r>
    <x v="115"/>
    <x v="3"/>
    <x v="6"/>
    <x v="3"/>
    <x v="4"/>
    <n v="708.12"/>
  </r>
  <r>
    <x v="101"/>
    <x v="0"/>
    <x v="5"/>
    <x v="2"/>
    <x v="5"/>
    <n v="1021.34"/>
  </r>
  <r>
    <x v="116"/>
    <x v="1"/>
    <x v="4"/>
    <x v="3"/>
    <x v="5"/>
    <n v="1583.42"/>
  </r>
  <r>
    <x v="43"/>
    <x v="0"/>
    <x v="0"/>
    <x v="0"/>
    <x v="5"/>
    <n v="1234.32"/>
  </r>
  <r>
    <x v="117"/>
    <x v="0"/>
    <x v="2"/>
    <x v="2"/>
    <x v="6"/>
    <n v="3962.52"/>
  </r>
  <r>
    <x v="118"/>
    <x v="3"/>
    <x v="4"/>
    <x v="3"/>
    <x v="7"/>
    <n v="384.44"/>
  </r>
  <r>
    <x v="119"/>
    <x v="3"/>
    <x v="6"/>
    <x v="3"/>
    <x v="4"/>
    <n v="351.12"/>
  </r>
  <r>
    <x v="120"/>
    <x v="3"/>
    <x v="2"/>
    <x v="2"/>
    <x v="6"/>
    <n v="3467.02"/>
  </r>
  <r>
    <x v="121"/>
    <x v="3"/>
    <x v="1"/>
    <x v="1"/>
    <x v="6"/>
    <n v="3283.82"/>
  </r>
  <r>
    <x v="122"/>
    <x v="1"/>
    <x v="6"/>
    <x v="3"/>
    <x v="0"/>
    <n v="218.45"/>
  </r>
  <r>
    <x v="123"/>
    <x v="0"/>
    <x v="5"/>
    <x v="2"/>
    <x v="3"/>
    <n v="1097.07"/>
  </r>
  <r>
    <x v="124"/>
    <x v="0"/>
    <x v="1"/>
    <x v="1"/>
    <x v="5"/>
    <n v="824.2"/>
  </r>
  <r>
    <x v="125"/>
    <x v="0"/>
    <x v="7"/>
    <x v="0"/>
    <x v="3"/>
    <n v="2505.56"/>
  </r>
  <r>
    <x v="126"/>
    <x v="0"/>
    <x v="3"/>
    <x v="1"/>
    <x v="0"/>
    <n v="446.43"/>
  </r>
  <r>
    <x v="127"/>
    <x v="1"/>
    <x v="1"/>
    <x v="1"/>
    <x v="5"/>
    <n v="237.77"/>
  </r>
  <r>
    <x v="128"/>
    <x v="1"/>
    <x v="2"/>
    <x v="2"/>
    <x v="2"/>
    <n v="1080.82"/>
  </r>
  <r>
    <x v="129"/>
    <x v="1"/>
    <x v="3"/>
    <x v="1"/>
    <x v="1"/>
    <n v="1470.25"/>
  </r>
  <r>
    <x v="110"/>
    <x v="0"/>
    <x v="4"/>
    <x v="3"/>
    <x v="6"/>
    <n v="2751.46"/>
  </r>
  <r>
    <x v="130"/>
    <x v="3"/>
    <x v="1"/>
    <x v="1"/>
    <x v="6"/>
    <n v="3048.66"/>
  </r>
  <r>
    <x v="131"/>
    <x v="1"/>
    <x v="5"/>
    <x v="2"/>
    <x v="5"/>
    <n v="1810.03"/>
  </r>
  <r>
    <x v="132"/>
    <x v="3"/>
    <x v="7"/>
    <x v="0"/>
    <x v="1"/>
    <n v="162.04"/>
  </r>
  <r>
    <x v="133"/>
    <x v="1"/>
    <x v="6"/>
    <x v="3"/>
    <x v="2"/>
    <n v="875.22"/>
  </r>
  <r>
    <x v="134"/>
    <x v="0"/>
    <x v="1"/>
    <x v="1"/>
    <x v="7"/>
    <n v="2574.54"/>
  </r>
  <r>
    <x v="135"/>
    <x v="1"/>
    <x v="0"/>
    <x v="0"/>
    <x v="5"/>
    <n v="1153.0999999999999"/>
  </r>
  <r>
    <x v="136"/>
    <x v="2"/>
    <x v="3"/>
    <x v="1"/>
    <x v="6"/>
    <n v="2721.88"/>
  </r>
  <r>
    <x v="137"/>
    <x v="0"/>
    <x v="1"/>
    <x v="1"/>
    <x v="1"/>
    <n v="1576.04"/>
  </r>
  <r>
    <x v="138"/>
    <x v="0"/>
    <x v="4"/>
    <x v="3"/>
    <x v="3"/>
    <n v="217.7"/>
  </r>
  <r>
    <x v="98"/>
    <x v="1"/>
    <x v="4"/>
    <x v="3"/>
    <x v="7"/>
    <n v="473.15"/>
  </r>
  <r>
    <x v="110"/>
    <x v="0"/>
    <x v="3"/>
    <x v="1"/>
    <x v="2"/>
    <n v="1897.59"/>
  </r>
  <r>
    <x v="139"/>
    <x v="3"/>
    <x v="2"/>
    <x v="2"/>
    <x v="0"/>
    <n v="733.86"/>
  </r>
  <r>
    <x v="140"/>
    <x v="1"/>
    <x v="1"/>
    <x v="1"/>
    <x v="7"/>
    <n v="2170.11"/>
  </r>
  <r>
    <x v="88"/>
    <x v="2"/>
    <x v="3"/>
    <x v="1"/>
    <x v="4"/>
    <n v="771.42"/>
  </r>
  <r>
    <x v="141"/>
    <x v="1"/>
    <x v="3"/>
    <x v="1"/>
    <x v="3"/>
    <n v="1771.08"/>
  </r>
  <r>
    <x v="142"/>
    <x v="0"/>
    <x v="5"/>
    <x v="2"/>
    <x v="5"/>
    <n v="1193.5"/>
  </r>
  <r>
    <x v="143"/>
    <x v="1"/>
    <x v="7"/>
    <x v="0"/>
    <x v="5"/>
    <n v="1636.68"/>
  </r>
  <r>
    <x v="23"/>
    <x v="3"/>
    <x v="1"/>
    <x v="1"/>
    <x v="0"/>
    <n v="1582.84"/>
  </r>
  <r>
    <x v="144"/>
    <x v="2"/>
    <x v="0"/>
    <x v="0"/>
    <x v="4"/>
    <n v="615.12"/>
  </r>
  <r>
    <x v="145"/>
    <x v="1"/>
    <x v="7"/>
    <x v="0"/>
    <x v="6"/>
    <n v="3396.52"/>
  </r>
  <r>
    <x v="146"/>
    <x v="1"/>
    <x v="2"/>
    <x v="2"/>
    <x v="2"/>
    <n v="1323.58"/>
  </r>
  <r>
    <x v="147"/>
    <x v="1"/>
    <x v="6"/>
    <x v="3"/>
    <x v="7"/>
    <n v="2225.94"/>
  </r>
  <r>
    <x v="148"/>
    <x v="1"/>
    <x v="5"/>
    <x v="2"/>
    <x v="4"/>
    <n v="193.39"/>
  </r>
  <r>
    <x v="63"/>
    <x v="3"/>
    <x v="6"/>
    <x v="3"/>
    <x v="0"/>
    <n v="743.88"/>
  </r>
  <r>
    <x v="98"/>
    <x v="1"/>
    <x v="6"/>
    <x v="3"/>
    <x v="0"/>
    <n v="1832.9"/>
  </r>
  <r>
    <x v="149"/>
    <x v="1"/>
    <x v="4"/>
    <x v="3"/>
    <x v="5"/>
    <n v="1791.99"/>
  </r>
  <r>
    <x v="150"/>
    <x v="2"/>
    <x v="0"/>
    <x v="0"/>
    <x v="7"/>
    <n v="1451.51"/>
  </r>
  <r>
    <x v="151"/>
    <x v="3"/>
    <x v="5"/>
    <x v="2"/>
    <x v="2"/>
    <n v="843.65"/>
  </r>
  <r>
    <x v="152"/>
    <x v="3"/>
    <x v="4"/>
    <x v="3"/>
    <x v="4"/>
    <n v="232.75"/>
  </r>
  <r>
    <x v="153"/>
    <x v="2"/>
    <x v="6"/>
    <x v="3"/>
    <x v="7"/>
    <n v="1362.57"/>
  </r>
  <r>
    <x v="154"/>
    <x v="1"/>
    <x v="6"/>
    <x v="3"/>
    <x v="7"/>
    <n v="2707.92"/>
  </r>
  <r>
    <x v="155"/>
    <x v="3"/>
    <x v="2"/>
    <x v="2"/>
    <x v="2"/>
    <n v="152.94"/>
  </r>
  <r>
    <x v="156"/>
    <x v="1"/>
    <x v="6"/>
    <x v="3"/>
    <x v="6"/>
    <n v="2044.82"/>
  </r>
  <r>
    <x v="157"/>
    <x v="2"/>
    <x v="2"/>
    <x v="2"/>
    <x v="5"/>
    <n v="1281.19"/>
  </r>
  <r>
    <x v="158"/>
    <x v="0"/>
    <x v="1"/>
    <x v="1"/>
    <x v="6"/>
    <n v="2344.1999999999998"/>
  </r>
  <r>
    <x v="159"/>
    <x v="1"/>
    <x v="0"/>
    <x v="0"/>
    <x v="4"/>
    <n v="176.54"/>
  </r>
  <r>
    <x v="0"/>
    <x v="0"/>
    <x v="5"/>
    <x v="2"/>
    <x v="0"/>
    <n v="1560.55"/>
  </r>
  <r>
    <x v="14"/>
    <x v="3"/>
    <x v="1"/>
    <x v="1"/>
    <x v="3"/>
    <n v="2113.65"/>
  </r>
  <r>
    <x v="87"/>
    <x v="0"/>
    <x v="2"/>
    <x v="2"/>
    <x v="1"/>
    <n v="1240.3900000000001"/>
  </r>
  <r>
    <x v="160"/>
    <x v="3"/>
    <x v="3"/>
    <x v="1"/>
    <x v="5"/>
    <n v="958.82"/>
  </r>
  <r>
    <x v="155"/>
    <x v="3"/>
    <x v="3"/>
    <x v="1"/>
    <x v="7"/>
    <n v="493.02"/>
  </r>
  <r>
    <x v="161"/>
    <x v="2"/>
    <x v="5"/>
    <x v="2"/>
    <x v="0"/>
    <n v="557.84"/>
  </r>
  <r>
    <x v="162"/>
    <x v="3"/>
    <x v="2"/>
    <x v="2"/>
    <x v="4"/>
    <n v="701.28"/>
  </r>
  <r>
    <x v="163"/>
    <x v="0"/>
    <x v="7"/>
    <x v="0"/>
    <x v="3"/>
    <n v="465.61"/>
  </r>
  <r>
    <x v="164"/>
    <x v="3"/>
    <x v="7"/>
    <x v="0"/>
    <x v="6"/>
    <n v="208.26"/>
  </r>
  <r>
    <x v="165"/>
    <x v="0"/>
    <x v="7"/>
    <x v="0"/>
    <x v="6"/>
    <n v="3364.5"/>
  </r>
  <r>
    <x v="166"/>
    <x v="3"/>
    <x v="6"/>
    <x v="3"/>
    <x v="1"/>
    <n v="1878.94"/>
  </r>
  <r>
    <x v="167"/>
    <x v="2"/>
    <x v="3"/>
    <x v="1"/>
    <x v="5"/>
    <n v="1408.84"/>
  </r>
  <r>
    <x v="168"/>
    <x v="0"/>
    <x v="4"/>
    <x v="3"/>
    <x v="0"/>
    <n v="1540.44"/>
  </r>
  <r>
    <x v="169"/>
    <x v="3"/>
    <x v="2"/>
    <x v="2"/>
    <x v="1"/>
    <n v="1572.35"/>
  </r>
  <r>
    <x v="15"/>
    <x v="3"/>
    <x v="4"/>
    <x v="3"/>
    <x v="2"/>
    <n v="1786"/>
  </r>
  <r>
    <x v="51"/>
    <x v="0"/>
    <x v="4"/>
    <x v="3"/>
    <x v="0"/>
    <n v="1981.69"/>
  </r>
  <r>
    <x v="170"/>
    <x v="2"/>
    <x v="7"/>
    <x v="0"/>
    <x v="7"/>
    <n v="1384.77"/>
  </r>
  <r>
    <x v="114"/>
    <x v="3"/>
    <x v="2"/>
    <x v="2"/>
    <x v="7"/>
    <n v="1086.5899999999999"/>
  </r>
  <r>
    <x v="171"/>
    <x v="2"/>
    <x v="2"/>
    <x v="2"/>
    <x v="1"/>
    <n v="164.77"/>
  </r>
  <r>
    <x v="172"/>
    <x v="2"/>
    <x v="0"/>
    <x v="0"/>
    <x v="2"/>
    <n v="1048.9000000000001"/>
  </r>
  <r>
    <x v="173"/>
    <x v="2"/>
    <x v="5"/>
    <x v="2"/>
    <x v="6"/>
    <n v="1497.9"/>
  </r>
  <r>
    <x v="174"/>
    <x v="0"/>
    <x v="0"/>
    <x v="0"/>
    <x v="2"/>
    <n v="1845.39"/>
  </r>
  <r>
    <x v="175"/>
    <x v="3"/>
    <x v="4"/>
    <x v="3"/>
    <x v="1"/>
    <n v="612.6"/>
  </r>
  <r>
    <x v="29"/>
    <x v="1"/>
    <x v="6"/>
    <x v="3"/>
    <x v="6"/>
    <n v="2233.36"/>
  </r>
  <r>
    <x v="176"/>
    <x v="0"/>
    <x v="2"/>
    <x v="2"/>
    <x v="5"/>
    <n v="1115.73"/>
  </r>
  <r>
    <x v="177"/>
    <x v="2"/>
    <x v="3"/>
    <x v="1"/>
    <x v="7"/>
    <n v="1974.54"/>
  </r>
  <r>
    <x v="178"/>
    <x v="3"/>
    <x v="6"/>
    <x v="3"/>
    <x v="1"/>
    <n v="1314.46"/>
  </r>
  <r>
    <x v="179"/>
    <x v="2"/>
    <x v="2"/>
    <x v="2"/>
    <x v="7"/>
    <n v="2531.94"/>
  </r>
  <r>
    <x v="180"/>
    <x v="1"/>
    <x v="2"/>
    <x v="2"/>
    <x v="2"/>
    <n v="153.74"/>
  </r>
  <r>
    <x v="181"/>
    <x v="2"/>
    <x v="7"/>
    <x v="0"/>
    <x v="1"/>
    <n v="794.69"/>
  </r>
  <r>
    <x v="182"/>
    <x v="1"/>
    <x v="3"/>
    <x v="1"/>
    <x v="0"/>
    <n v="617.89"/>
  </r>
  <r>
    <x v="183"/>
    <x v="1"/>
    <x v="7"/>
    <x v="0"/>
    <x v="0"/>
    <n v="665.03"/>
  </r>
  <r>
    <x v="184"/>
    <x v="0"/>
    <x v="5"/>
    <x v="2"/>
    <x v="0"/>
    <n v="1175.3"/>
  </r>
  <r>
    <x v="185"/>
    <x v="0"/>
    <x v="0"/>
    <x v="0"/>
    <x v="0"/>
    <n v="678.51"/>
  </r>
  <r>
    <x v="186"/>
    <x v="0"/>
    <x v="3"/>
    <x v="1"/>
    <x v="6"/>
    <n v="608.86"/>
  </r>
  <r>
    <x v="7"/>
    <x v="0"/>
    <x v="5"/>
    <x v="2"/>
    <x v="0"/>
    <n v="365.52"/>
  </r>
  <r>
    <x v="187"/>
    <x v="2"/>
    <x v="2"/>
    <x v="2"/>
    <x v="4"/>
    <n v="228.16"/>
  </r>
  <r>
    <x v="188"/>
    <x v="0"/>
    <x v="4"/>
    <x v="3"/>
    <x v="7"/>
    <n v="1634.75"/>
  </r>
  <r>
    <x v="89"/>
    <x v="0"/>
    <x v="2"/>
    <x v="2"/>
    <x v="0"/>
    <n v="1685.76"/>
  </r>
  <r>
    <x v="189"/>
    <x v="0"/>
    <x v="0"/>
    <x v="0"/>
    <x v="6"/>
    <n v="3031.26"/>
  </r>
  <r>
    <x v="190"/>
    <x v="3"/>
    <x v="7"/>
    <x v="0"/>
    <x v="7"/>
    <n v="352.47"/>
  </r>
  <r>
    <x v="191"/>
    <x v="1"/>
    <x v="7"/>
    <x v="0"/>
    <x v="2"/>
    <n v="1176.51"/>
  </r>
  <r>
    <x v="192"/>
    <x v="2"/>
    <x v="7"/>
    <x v="0"/>
    <x v="4"/>
    <n v="197.1"/>
  </r>
  <r>
    <x v="193"/>
    <x v="0"/>
    <x v="3"/>
    <x v="1"/>
    <x v="3"/>
    <n v="2811.39"/>
  </r>
  <r>
    <x v="194"/>
    <x v="1"/>
    <x v="1"/>
    <x v="1"/>
    <x v="2"/>
    <n v="978.14"/>
  </r>
  <r>
    <x v="195"/>
    <x v="1"/>
    <x v="4"/>
    <x v="3"/>
    <x v="6"/>
    <n v="1564.38"/>
  </r>
  <r>
    <x v="196"/>
    <x v="0"/>
    <x v="0"/>
    <x v="0"/>
    <x v="2"/>
    <n v="831.6"/>
  </r>
  <r>
    <x v="197"/>
    <x v="2"/>
    <x v="3"/>
    <x v="1"/>
    <x v="7"/>
    <n v="485.55"/>
  </r>
  <r>
    <x v="198"/>
    <x v="1"/>
    <x v="6"/>
    <x v="3"/>
    <x v="1"/>
    <n v="1644.03"/>
  </r>
  <r>
    <x v="199"/>
    <x v="1"/>
    <x v="5"/>
    <x v="2"/>
    <x v="2"/>
    <n v="840.13"/>
  </r>
  <r>
    <x v="200"/>
    <x v="0"/>
    <x v="6"/>
    <x v="3"/>
    <x v="7"/>
    <n v="2961.24"/>
  </r>
  <r>
    <x v="89"/>
    <x v="0"/>
    <x v="2"/>
    <x v="2"/>
    <x v="6"/>
    <n v="644.12"/>
  </r>
  <r>
    <x v="201"/>
    <x v="3"/>
    <x v="5"/>
    <x v="2"/>
    <x v="4"/>
    <n v="762.24"/>
  </r>
  <r>
    <x v="202"/>
    <x v="3"/>
    <x v="2"/>
    <x v="2"/>
    <x v="1"/>
    <n v="1551.25"/>
  </r>
  <r>
    <x v="203"/>
    <x v="2"/>
    <x v="1"/>
    <x v="1"/>
    <x v="6"/>
    <n v="2736.86"/>
  </r>
  <r>
    <x v="204"/>
    <x v="2"/>
    <x v="1"/>
    <x v="1"/>
    <x v="7"/>
    <n v="1838.09"/>
  </r>
  <r>
    <x v="205"/>
    <x v="2"/>
    <x v="5"/>
    <x v="2"/>
    <x v="5"/>
    <n v="1647.31"/>
  </r>
  <r>
    <x v="206"/>
    <x v="2"/>
    <x v="0"/>
    <x v="0"/>
    <x v="5"/>
    <n v="1211.8"/>
  </r>
  <r>
    <x v="107"/>
    <x v="0"/>
    <x v="4"/>
    <x v="3"/>
    <x v="7"/>
    <n v="228.03"/>
  </r>
  <r>
    <x v="202"/>
    <x v="3"/>
    <x v="5"/>
    <x v="2"/>
    <x v="3"/>
    <n v="2221.9899999999998"/>
  </r>
  <r>
    <x v="79"/>
    <x v="3"/>
    <x v="0"/>
    <x v="0"/>
    <x v="6"/>
    <n v="1451.54"/>
  </r>
  <r>
    <x v="207"/>
    <x v="2"/>
    <x v="2"/>
    <x v="2"/>
    <x v="5"/>
    <n v="1475.45"/>
  </r>
  <r>
    <x v="208"/>
    <x v="3"/>
    <x v="3"/>
    <x v="1"/>
    <x v="1"/>
    <n v="696.55"/>
  </r>
  <r>
    <x v="209"/>
    <x v="1"/>
    <x v="0"/>
    <x v="0"/>
    <x v="7"/>
    <n v="965.15"/>
  </r>
  <r>
    <x v="210"/>
    <x v="3"/>
    <x v="2"/>
    <x v="2"/>
    <x v="3"/>
    <n v="1445.37"/>
  </r>
  <r>
    <x v="63"/>
    <x v="3"/>
    <x v="2"/>
    <x v="2"/>
    <x v="0"/>
    <n v="749.86"/>
  </r>
  <r>
    <x v="211"/>
    <x v="2"/>
    <x v="6"/>
    <x v="3"/>
    <x v="5"/>
    <n v="1718.87"/>
  </r>
  <r>
    <x v="212"/>
    <x v="0"/>
    <x v="3"/>
    <x v="1"/>
    <x v="3"/>
    <n v="2125.2399999999998"/>
  </r>
  <r>
    <x v="213"/>
    <x v="2"/>
    <x v="0"/>
    <x v="0"/>
    <x v="6"/>
    <n v="2390.14"/>
  </r>
  <r>
    <x v="214"/>
    <x v="1"/>
    <x v="0"/>
    <x v="0"/>
    <x v="4"/>
    <n v="136.81"/>
  </r>
  <r>
    <x v="106"/>
    <x v="3"/>
    <x v="6"/>
    <x v="3"/>
    <x v="0"/>
    <n v="988.97"/>
  </r>
  <r>
    <x v="215"/>
    <x v="1"/>
    <x v="0"/>
    <x v="0"/>
    <x v="6"/>
    <n v="1125.82"/>
  </r>
  <r>
    <x v="216"/>
    <x v="1"/>
    <x v="1"/>
    <x v="1"/>
    <x v="4"/>
    <n v="256.77"/>
  </r>
  <r>
    <x v="143"/>
    <x v="1"/>
    <x v="3"/>
    <x v="1"/>
    <x v="3"/>
    <n v="153.68"/>
  </r>
  <r>
    <x v="217"/>
    <x v="3"/>
    <x v="3"/>
    <x v="1"/>
    <x v="4"/>
    <n v="534.16"/>
  </r>
  <r>
    <x v="218"/>
    <x v="0"/>
    <x v="4"/>
    <x v="3"/>
    <x v="6"/>
    <n v="930.96"/>
  </r>
  <r>
    <x v="219"/>
    <x v="3"/>
    <x v="1"/>
    <x v="1"/>
    <x v="6"/>
    <n v="1193.42"/>
  </r>
  <r>
    <x v="56"/>
    <x v="0"/>
    <x v="5"/>
    <x v="2"/>
    <x v="7"/>
    <n v="1199.82"/>
  </r>
  <r>
    <x v="220"/>
    <x v="0"/>
    <x v="1"/>
    <x v="1"/>
    <x v="4"/>
    <n v="247.9"/>
  </r>
  <r>
    <x v="221"/>
    <x v="1"/>
    <x v="4"/>
    <x v="3"/>
    <x v="0"/>
    <n v="1359.57"/>
  </r>
  <r>
    <x v="222"/>
    <x v="1"/>
    <x v="4"/>
    <x v="3"/>
    <x v="2"/>
    <n v="1631.28"/>
  </r>
  <r>
    <x v="223"/>
    <x v="2"/>
    <x v="5"/>
    <x v="2"/>
    <x v="7"/>
    <n v="1194.1400000000001"/>
  </r>
  <r>
    <x v="224"/>
    <x v="0"/>
    <x v="2"/>
    <x v="2"/>
    <x v="3"/>
    <n v="1373.14"/>
  </r>
  <r>
    <x v="225"/>
    <x v="2"/>
    <x v="2"/>
    <x v="2"/>
    <x v="4"/>
    <n v="660.09"/>
  </r>
  <r>
    <x v="226"/>
    <x v="3"/>
    <x v="0"/>
    <x v="0"/>
    <x v="5"/>
    <n v="320.31"/>
  </r>
  <r>
    <x v="227"/>
    <x v="1"/>
    <x v="6"/>
    <x v="3"/>
    <x v="3"/>
    <n v="823.67"/>
  </r>
  <r>
    <x v="228"/>
    <x v="3"/>
    <x v="0"/>
    <x v="0"/>
    <x v="0"/>
    <n v="174.67"/>
  </r>
  <r>
    <x v="229"/>
    <x v="0"/>
    <x v="4"/>
    <x v="3"/>
    <x v="3"/>
    <n v="1326.42"/>
  </r>
  <r>
    <x v="220"/>
    <x v="0"/>
    <x v="7"/>
    <x v="0"/>
    <x v="7"/>
    <n v="2713.56"/>
  </r>
  <r>
    <x v="230"/>
    <x v="2"/>
    <x v="3"/>
    <x v="1"/>
    <x v="5"/>
    <n v="1278.56"/>
  </r>
  <r>
    <x v="231"/>
    <x v="0"/>
    <x v="5"/>
    <x v="2"/>
    <x v="3"/>
    <n v="692.23"/>
  </r>
  <r>
    <x v="135"/>
    <x v="1"/>
    <x v="0"/>
    <x v="0"/>
    <x v="1"/>
    <n v="1010.08"/>
  </r>
  <r>
    <x v="176"/>
    <x v="0"/>
    <x v="6"/>
    <x v="3"/>
    <x v="0"/>
    <n v="171.35"/>
  </r>
  <r>
    <x v="78"/>
    <x v="2"/>
    <x v="5"/>
    <x v="2"/>
    <x v="1"/>
    <n v="1613.39"/>
  </r>
  <r>
    <x v="232"/>
    <x v="0"/>
    <x v="4"/>
    <x v="3"/>
    <x v="4"/>
    <n v="139.28"/>
  </r>
  <r>
    <x v="233"/>
    <x v="3"/>
    <x v="1"/>
    <x v="1"/>
    <x v="6"/>
    <n v="1579.3"/>
  </r>
  <r>
    <x v="234"/>
    <x v="2"/>
    <x v="2"/>
    <x v="2"/>
    <x v="0"/>
    <n v="1154.1600000000001"/>
  </r>
  <r>
    <x v="235"/>
    <x v="0"/>
    <x v="2"/>
    <x v="2"/>
    <x v="7"/>
    <n v="1570.37"/>
  </r>
  <r>
    <x v="229"/>
    <x v="0"/>
    <x v="2"/>
    <x v="2"/>
    <x v="6"/>
    <n v="3791.92"/>
  </r>
  <r>
    <x v="236"/>
    <x v="1"/>
    <x v="7"/>
    <x v="0"/>
    <x v="7"/>
    <n v="1727"/>
  </r>
  <r>
    <x v="237"/>
    <x v="2"/>
    <x v="0"/>
    <x v="0"/>
    <x v="1"/>
    <n v="1341.74"/>
  </r>
  <r>
    <x v="238"/>
    <x v="1"/>
    <x v="0"/>
    <x v="0"/>
    <x v="7"/>
    <n v="632.52"/>
  </r>
  <r>
    <x v="239"/>
    <x v="2"/>
    <x v="2"/>
    <x v="2"/>
    <x v="7"/>
    <n v="2148.36"/>
  </r>
  <r>
    <x v="240"/>
    <x v="3"/>
    <x v="2"/>
    <x v="2"/>
    <x v="4"/>
    <n v="92.36"/>
  </r>
  <r>
    <x v="241"/>
    <x v="2"/>
    <x v="6"/>
    <x v="3"/>
    <x v="1"/>
    <n v="1768.59"/>
  </r>
  <r>
    <x v="242"/>
    <x v="3"/>
    <x v="1"/>
    <x v="1"/>
    <x v="1"/>
    <n v="953.25"/>
  </r>
  <r>
    <x v="243"/>
    <x v="0"/>
    <x v="7"/>
    <x v="0"/>
    <x v="0"/>
    <n v="330.29"/>
  </r>
  <r>
    <x v="244"/>
    <x v="3"/>
    <x v="3"/>
    <x v="1"/>
    <x v="0"/>
    <n v="1303.93"/>
  </r>
  <r>
    <x v="245"/>
    <x v="3"/>
    <x v="7"/>
    <x v="0"/>
    <x v="2"/>
    <n v="1995.38"/>
  </r>
  <r>
    <x v="246"/>
    <x v="0"/>
    <x v="1"/>
    <x v="1"/>
    <x v="1"/>
    <n v="831.83"/>
  </r>
  <r>
    <x v="103"/>
    <x v="0"/>
    <x v="1"/>
    <x v="1"/>
    <x v="6"/>
    <n v="1135.7"/>
  </r>
  <r>
    <x v="247"/>
    <x v="1"/>
    <x v="0"/>
    <x v="0"/>
    <x v="4"/>
    <n v="456.36"/>
  </r>
  <r>
    <x v="203"/>
    <x v="2"/>
    <x v="1"/>
    <x v="1"/>
    <x v="7"/>
    <n v="2242.37"/>
  </r>
  <r>
    <x v="248"/>
    <x v="1"/>
    <x v="2"/>
    <x v="2"/>
    <x v="6"/>
    <n v="3881.88"/>
  </r>
  <r>
    <x v="249"/>
    <x v="1"/>
    <x v="0"/>
    <x v="0"/>
    <x v="2"/>
    <n v="217.5"/>
  </r>
  <r>
    <x v="250"/>
    <x v="0"/>
    <x v="7"/>
    <x v="0"/>
    <x v="7"/>
    <n v="1553.6"/>
  </r>
  <r>
    <x v="251"/>
    <x v="0"/>
    <x v="4"/>
    <x v="3"/>
    <x v="6"/>
    <n v="2048.06"/>
  </r>
  <r>
    <x v="252"/>
    <x v="1"/>
    <x v="0"/>
    <x v="0"/>
    <x v="7"/>
    <n v="1623.8"/>
  </r>
  <r>
    <x v="253"/>
    <x v="3"/>
    <x v="5"/>
    <x v="2"/>
    <x v="6"/>
    <n v="3161.46"/>
  </r>
  <r>
    <x v="254"/>
    <x v="1"/>
    <x v="5"/>
    <x v="2"/>
    <x v="1"/>
    <n v="1692.95"/>
  </r>
  <r>
    <x v="247"/>
    <x v="1"/>
    <x v="0"/>
    <x v="0"/>
    <x v="5"/>
    <n v="101.85"/>
  </r>
  <r>
    <x v="255"/>
    <x v="0"/>
    <x v="7"/>
    <x v="0"/>
    <x v="6"/>
    <n v="361.9"/>
  </r>
  <r>
    <x v="256"/>
    <x v="1"/>
    <x v="6"/>
    <x v="3"/>
    <x v="0"/>
    <n v="1371.89"/>
  </r>
  <r>
    <x v="257"/>
    <x v="3"/>
    <x v="4"/>
    <x v="3"/>
    <x v="7"/>
    <n v="302.83999999999997"/>
  </r>
  <r>
    <x v="212"/>
    <x v="0"/>
    <x v="7"/>
    <x v="0"/>
    <x v="1"/>
    <n v="1322.41"/>
  </r>
  <r>
    <x v="258"/>
    <x v="2"/>
    <x v="5"/>
    <x v="2"/>
    <x v="6"/>
    <n v="513.86"/>
  </r>
  <r>
    <x v="259"/>
    <x v="0"/>
    <x v="6"/>
    <x v="3"/>
    <x v="3"/>
    <n v="770.27"/>
  </r>
  <r>
    <x v="184"/>
    <x v="0"/>
    <x v="2"/>
    <x v="2"/>
    <x v="0"/>
    <n v="222.12"/>
  </r>
  <r>
    <x v="79"/>
    <x v="3"/>
    <x v="3"/>
    <x v="1"/>
    <x v="0"/>
    <n v="457.64"/>
  </r>
  <r>
    <x v="174"/>
    <x v="0"/>
    <x v="1"/>
    <x v="1"/>
    <x v="6"/>
    <n v="1804.28"/>
  </r>
  <r>
    <x v="260"/>
    <x v="2"/>
    <x v="5"/>
    <x v="2"/>
    <x v="0"/>
    <n v="760.86"/>
  </r>
  <r>
    <x v="261"/>
    <x v="3"/>
    <x v="1"/>
    <x v="1"/>
    <x v="4"/>
    <n v="159.04"/>
  </r>
  <r>
    <x v="262"/>
    <x v="0"/>
    <x v="4"/>
    <x v="3"/>
    <x v="1"/>
    <n v="1845.16"/>
  </r>
  <r>
    <x v="263"/>
    <x v="2"/>
    <x v="5"/>
    <x v="2"/>
    <x v="0"/>
    <n v="573.25"/>
  </r>
  <r>
    <x v="264"/>
    <x v="2"/>
    <x v="7"/>
    <x v="0"/>
    <x v="2"/>
    <n v="423.24"/>
  </r>
  <r>
    <x v="265"/>
    <x v="1"/>
    <x v="4"/>
    <x v="3"/>
    <x v="2"/>
    <n v="897.61"/>
  </r>
  <r>
    <x v="266"/>
    <x v="3"/>
    <x v="3"/>
    <x v="1"/>
    <x v="5"/>
    <n v="1234.96"/>
  </r>
  <r>
    <x v="267"/>
    <x v="2"/>
    <x v="7"/>
    <x v="0"/>
    <x v="1"/>
    <n v="213.64"/>
  </r>
  <r>
    <x v="268"/>
    <x v="2"/>
    <x v="0"/>
    <x v="0"/>
    <x v="3"/>
    <n v="664.56"/>
  </r>
  <r>
    <x v="91"/>
    <x v="3"/>
    <x v="7"/>
    <x v="0"/>
    <x v="5"/>
    <n v="1682.92"/>
  </r>
  <r>
    <x v="269"/>
    <x v="0"/>
    <x v="0"/>
    <x v="0"/>
    <x v="3"/>
    <n v="535.4"/>
  </r>
  <r>
    <x v="49"/>
    <x v="2"/>
    <x v="1"/>
    <x v="1"/>
    <x v="5"/>
    <n v="318.37"/>
  </r>
  <r>
    <x v="270"/>
    <x v="2"/>
    <x v="2"/>
    <x v="2"/>
    <x v="7"/>
    <n v="1639.19"/>
  </r>
  <r>
    <x v="271"/>
    <x v="1"/>
    <x v="5"/>
    <x v="2"/>
    <x v="3"/>
    <n v="2911.58"/>
  </r>
  <r>
    <x v="8"/>
    <x v="3"/>
    <x v="3"/>
    <x v="1"/>
    <x v="1"/>
    <n v="1249.6600000000001"/>
  </r>
  <r>
    <x v="272"/>
    <x v="3"/>
    <x v="2"/>
    <x v="2"/>
    <x v="6"/>
    <n v="3277.14"/>
  </r>
  <r>
    <x v="55"/>
    <x v="0"/>
    <x v="5"/>
    <x v="2"/>
    <x v="5"/>
    <n v="1176.2"/>
  </r>
  <r>
    <x v="192"/>
    <x v="2"/>
    <x v="3"/>
    <x v="1"/>
    <x v="0"/>
    <n v="1839.51"/>
  </r>
  <r>
    <x v="273"/>
    <x v="1"/>
    <x v="2"/>
    <x v="2"/>
    <x v="4"/>
    <n v="557.04"/>
  </r>
  <r>
    <x v="274"/>
    <x v="1"/>
    <x v="1"/>
    <x v="1"/>
    <x v="2"/>
    <n v="1444.71"/>
  </r>
  <r>
    <x v="275"/>
    <x v="2"/>
    <x v="2"/>
    <x v="2"/>
    <x v="4"/>
    <n v="231.78"/>
  </r>
  <r>
    <x v="276"/>
    <x v="0"/>
    <x v="2"/>
    <x v="2"/>
    <x v="7"/>
    <n v="621.99"/>
  </r>
  <r>
    <x v="277"/>
    <x v="1"/>
    <x v="5"/>
    <x v="2"/>
    <x v="7"/>
    <n v="1618.37"/>
  </r>
  <r>
    <x v="278"/>
    <x v="3"/>
    <x v="4"/>
    <x v="3"/>
    <x v="2"/>
    <n v="1676.33"/>
  </r>
  <r>
    <x v="82"/>
    <x v="2"/>
    <x v="4"/>
    <x v="3"/>
    <x v="0"/>
    <n v="374.51"/>
  </r>
  <r>
    <x v="279"/>
    <x v="0"/>
    <x v="6"/>
    <x v="3"/>
    <x v="7"/>
    <n v="519.15"/>
  </r>
  <r>
    <x v="280"/>
    <x v="1"/>
    <x v="4"/>
    <x v="3"/>
    <x v="6"/>
    <n v="2909.54"/>
  </r>
  <r>
    <x v="281"/>
    <x v="1"/>
    <x v="2"/>
    <x v="2"/>
    <x v="6"/>
    <n v="2566.54"/>
  </r>
  <r>
    <x v="63"/>
    <x v="3"/>
    <x v="0"/>
    <x v="0"/>
    <x v="6"/>
    <n v="1595.28"/>
  </r>
  <r>
    <x v="134"/>
    <x v="0"/>
    <x v="7"/>
    <x v="0"/>
    <x v="7"/>
    <n v="349.26"/>
  </r>
  <r>
    <x v="282"/>
    <x v="3"/>
    <x v="3"/>
    <x v="1"/>
    <x v="1"/>
    <n v="247.06"/>
  </r>
  <r>
    <x v="283"/>
    <x v="1"/>
    <x v="4"/>
    <x v="3"/>
    <x v="3"/>
    <n v="1164.03"/>
  </r>
  <r>
    <x v="284"/>
    <x v="0"/>
    <x v="7"/>
    <x v="0"/>
    <x v="0"/>
    <n v="688.79"/>
  </r>
  <r>
    <x v="285"/>
    <x v="1"/>
    <x v="2"/>
    <x v="2"/>
    <x v="1"/>
    <n v="230.87"/>
  </r>
  <r>
    <x v="286"/>
    <x v="2"/>
    <x v="3"/>
    <x v="1"/>
    <x v="7"/>
    <n v="2895.36"/>
  </r>
  <r>
    <x v="287"/>
    <x v="3"/>
    <x v="1"/>
    <x v="1"/>
    <x v="2"/>
    <n v="298.02999999999997"/>
  </r>
  <r>
    <x v="288"/>
    <x v="3"/>
    <x v="0"/>
    <x v="0"/>
    <x v="3"/>
    <n v="1536.63"/>
  </r>
  <r>
    <x v="206"/>
    <x v="2"/>
    <x v="5"/>
    <x v="2"/>
    <x v="0"/>
    <n v="1353.92"/>
  </r>
  <r>
    <x v="289"/>
    <x v="1"/>
    <x v="7"/>
    <x v="0"/>
    <x v="7"/>
    <n v="1759.11"/>
  </r>
  <r>
    <x v="290"/>
    <x v="2"/>
    <x v="4"/>
    <x v="3"/>
    <x v="5"/>
    <n v="624.54999999999995"/>
  </r>
  <r>
    <x v="291"/>
    <x v="0"/>
    <x v="0"/>
    <x v="0"/>
    <x v="3"/>
    <n v="640.22"/>
  </r>
  <r>
    <x v="84"/>
    <x v="1"/>
    <x v="5"/>
    <x v="2"/>
    <x v="0"/>
    <n v="583.41"/>
  </r>
  <r>
    <x v="292"/>
    <x v="0"/>
    <x v="1"/>
    <x v="1"/>
    <x v="4"/>
    <n v="330.12"/>
  </r>
  <r>
    <x v="293"/>
    <x v="0"/>
    <x v="0"/>
    <x v="0"/>
    <x v="2"/>
    <n v="815.84"/>
  </r>
  <r>
    <x v="294"/>
    <x v="2"/>
    <x v="0"/>
    <x v="0"/>
    <x v="4"/>
    <n v="146.80000000000001"/>
  </r>
  <r>
    <x v="192"/>
    <x v="2"/>
    <x v="4"/>
    <x v="3"/>
    <x v="3"/>
    <n v="2348.2399999999998"/>
  </r>
  <r>
    <x v="295"/>
    <x v="0"/>
    <x v="5"/>
    <x v="2"/>
    <x v="7"/>
    <n v="677.93"/>
  </r>
  <r>
    <x v="164"/>
    <x v="3"/>
    <x v="7"/>
    <x v="0"/>
    <x v="3"/>
    <n v="453.03"/>
  </r>
  <r>
    <x v="296"/>
    <x v="2"/>
    <x v="0"/>
    <x v="0"/>
    <x v="0"/>
    <n v="430.53"/>
  </r>
  <r>
    <x v="256"/>
    <x v="1"/>
    <x v="6"/>
    <x v="3"/>
    <x v="5"/>
    <n v="858.44"/>
  </r>
  <r>
    <x v="51"/>
    <x v="0"/>
    <x v="6"/>
    <x v="3"/>
    <x v="6"/>
    <n v="3721.68"/>
  </r>
  <r>
    <x v="297"/>
    <x v="2"/>
    <x v="4"/>
    <x v="3"/>
    <x v="7"/>
    <n v="1272.26"/>
  </r>
  <r>
    <x v="298"/>
    <x v="3"/>
    <x v="3"/>
    <x v="1"/>
    <x v="3"/>
    <n v="1228.44"/>
  </r>
  <r>
    <x v="299"/>
    <x v="3"/>
    <x v="6"/>
    <x v="3"/>
    <x v="6"/>
    <n v="2190.2199999999998"/>
  </r>
  <r>
    <x v="300"/>
    <x v="0"/>
    <x v="1"/>
    <x v="1"/>
    <x v="5"/>
    <n v="118.63"/>
  </r>
  <r>
    <x v="264"/>
    <x v="2"/>
    <x v="6"/>
    <x v="3"/>
    <x v="6"/>
    <n v="3445.62"/>
  </r>
  <r>
    <x v="284"/>
    <x v="0"/>
    <x v="6"/>
    <x v="3"/>
    <x v="2"/>
    <n v="1714.73"/>
  </r>
  <r>
    <x v="301"/>
    <x v="0"/>
    <x v="0"/>
    <x v="0"/>
    <x v="2"/>
    <n v="1415.38"/>
  </r>
  <r>
    <x v="51"/>
    <x v="0"/>
    <x v="0"/>
    <x v="0"/>
    <x v="7"/>
    <n v="2608.5300000000002"/>
  </r>
  <r>
    <x v="237"/>
    <x v="2"/>
    <x v="3"/>
    <x v="1"/>
    <x v="2"/>
    <n v="1538.43"/>
  </r>
  <r>
    <x v="302"/>
    <x v="1"/>
    <x v="6"/>
    <x v="3"/>
    <x v="1"/>
    <n v="418.85"/>
  </r>
  <r>
    <x v="303"/>
    <x v="2"/>
    <x v="4"/>
    <x v="3"/>
    <x v="2"/>
    <n v="1953.66"/>
  </r>
  <r>
    <x v="165"/>
    <x v="0"/>
    <x v="2"/>
    <x v="2"/>
    <x v="6"/>
    <n v="2888.58"/>
  </r>
  <r>
    <x v="304"/>
    <x v="3"/>
    <x v="1"/>
    <x v="1"/>
    <x v="6"/>
    <n v="3794.16"/>
  </r>
  <r>
    <x v="77"/>
    <x v="3"/>
    <x v="1"/>
    <x v="1"/>
    <x v="5"/>
    <n v="321.5"/>
  </r>
  <r>
    <x v="270"/>
    <x v="2"/>
    <x v="2"/>
    <x v="2"/>
    <x v="4"/>
    <n v="797.57"/>
  </r>
  <r>
    <x v="305"/>
    <x v="2"/>
    <x v="3"/>
    <x v="1"/>
    <x v="0"/>
    <n v="451.83"/>
  </r>
  <r>
    <x v="295"/>
    <x v="0"/>
    <x v="4"/>
    <x v="3"/>
    <x v="2"/>
    <n v="1480.31"/>
  </r>
  <r>
    <x v="280"/>
    <x v="1"/>
    <x v="3"/>
    <x v="1"/>
    <x v="4"/>
    <n v="362.72"/>
  </r>
  <r>
    <x v="306"/>
    <x v="1"/>
    <x v="6"/>
    <x v="3"/>
    <x v="0"/>
    <n v="1943.54"/>
  </r>
  <r>
    <x v="307"/>
    <x v="2"/>
    <x v="5"/>
    <x v="2"/>
    <x v="7"/>
    <n v="741.95"/>
  </r>
  <r>
    <x v="308"/>
    <x v="2"/>
    <x v="0"/>
    <x v="0"/>
    <x v="0"/>
    <n v="1049.24"/>
  </r>
  <r>
    <x v="309"/>
    <x v="1"/>
    <x v="4"/>
    <x v="3"/>
    <x v="4"/>
    <n v="302.27999999999997"/>
  </r>
  <r>
    <x v="130"/>
    <x v="3"/>
    <x v="2"/>
    <x v="2"/>
    <x v="6"/>
    <n v="2867.7"/>
  </r>
  <r>
    <x v="310"/>
    <x v="3"/>
    <x v="6"/>
    <x v="3"/>
    <x v="3"/>
    <n v="2294.71"/>
  </r>
  <r>
    <x v="276"/>
    <x v="0"/>
    <x v="4"/>
    <x v="3"/>
    <x v="5"/>
    <n v="1060.6500000000001"/>
  </r>
  <r>
    <x v="311"/>
    <x v="3"/>
    <x v="7"/>
    <x v="0"/>
    <x v="4"/>
    <n v="334.68"/>
  </r>
  <r>
    <x v="307"/>
    <x v="2"/>
    <x v="0"/>
    <x v="0"/>
    <x v="6"/>
    <n v="3838.4"/>
  </r>
  <r>
    <x v="288"/>
    <x v="3"/>
    <x v="6"/>
    <x v="3"/>
    <x v="7"/>
    <n v="2230.3200000000002"/>
  </r>
  <r>
    <x v="23"/>
    <x v="3"/>
    <x v="4"/>
    <x v="3"/>
    <x v="4"/>
    <n v="364.24"/>
  </r>
  <r>
    <x v="176"/>
    <x v="0"/>
    <x v="5"/>
    <x v="2"/>
    <x v="2"/>
    <n v="1077.5899999999999"/>
  </r>
  <r>
    <x v="312"/>
    <x v="2"/>
    <x v="6"/>
    <x v="3"/>
    <x v="2"/>
    <n v="1685.5"/>
  </r>
  <r>
    <x v="313"/>
    <x v="1"/>
    <x v="7"/>
    <x v="0"/>
    <x v="3"/>
    <n v="2344.42"/>
  </r>
  <r>
    <x v="218"/>
    <x v="0"/>
    <x v="6"/>
    <x v="3"/>
    <x v="4"/>
    <n v="426.75"/>
  </r>
  <r>
    <x v="77"/>
    <x v="3"/>
    <x v="1"/>
    <x v="1"/>
    <x v="4"/>
    <n v="795.06"/>
  </r>
  <r>
    <x v="314"/>
    <x v="1"/>
    <x v="2"/>
    <x v="2"/>
    <x v="5"/>
    <n v="1868"/>
  </r>
  <r>
    <x v="315"/>
    <x v="3"/>
    <x v="7"/>
    <x v="0"/>
    <x v="4"/>
    <n v="714.59"/>
  </r>
  <r>
    <x v="82"/>
    <x v="2"/>
    <x v="5"/>
    <x v="2"/>
    <x v="0"/>
    <n v="489"/>
  </r>
  <r>
    <x v="316"/>
    <x v="2"/>
    <x v="2"/>
    <x v="2"/>
    <x v="1"/>
    <n v="324.25"/>
  </r>
  <r>
    <x v="317"/>
    <x v="1"/>
    <x v="0"/>
    <x v="0"/>
    <x v="5"/>
    <n v="1812.63"/>
  </r>
  <r>
    <x v="318"/>
    <x v="3"/>
    <x v="1"/>
    <x v="1"/>
    <x v="5"/>
    <n v="1969.21"/>
  </r>
  <r>
    <x v="280"/>
    <x v="1"/>
    <x v="7"/>
    <x v="0"/>
    <x v="2"/>
    <n v="1695.95"/>
  </r>
  <r>
    <x v="311"/>
    <x v="3"/>
    <x v="4"/>
    <x v="3"/>
    <x v="1"/>
    <n v="601.13"/>
  </r>
  <r>
    <x v="16"/>
    <x v="0"/>
    <x v="2"/>
    <x v="2"/>
    <x v="4"/>
    <n v="171.26"/>
  </r>
  <r>
    <x v="9"/>
    <x v="0"/>
    <x v="3"/>
    <x v="1"/>
    <x v="5"/>
    <n v="368.54"/>
  </r>
  <r>
    <x v="319"/>
    <x v="1"/>
    <x v="7"/>
    <x v="0"/>
    <x v="3"/>
    <n v="2861.97"/>
  </r>
  <r>
    <x v="320"/>
    <x v="2"/>
    <x v="1"/>
    <x v="1"/>
    <x v="4"/>
    <n v="254"/>
  </r>
  <r>
    <x v="321"/>
    <x v="0"/>
    <x v="3"/>
    <x v="1"/>
    <x v="6"/>
    <n v="3445.24"/>
  </r>
  <r>
    <x v="302"/>
    <x v="1"/>
    <x v="2"/>
    <x v="2"/>
    <x v="0"/>
    <n v="179.38"/>
  </r>
  <r>
    <x v="300"/>
    <x v="0"/>
    <x v="2"/>
    <x v="2"/>
    <x v="7"/>
    <n v="982.38"/>
  </r>
  <r>
    <x v="63"/>
    <x v="3"/>
    <x v="5"/>
    <x v="2"/>
    <x v="7"/>
    <n v="764.43"/>
  </r>
  <r>
    <x v="322"/>
    <x v="0"/>
    <x v="1"/>
    <x v="1"/>
    <x v="1"/>
    <n v="317.95"/>
  </r>
  <r>
    <x v="323"/>
    <x v="2"/>
    <x v="7"/>
    <x v="0"/>
    <x v="2"/>
    <n v="1650.81"/>
  </r>
  <r>
    <x v="200"/>
    <x v="0"/>
    <x v="6"/>
    <x v="3"/>
    <x v="6"/>
    <n v="2141.8200000000002"/>
  </r>
  <r>
    <x v="89"/>
    <x v="0"/>
    <x v="7"/>
    <x v="0"/>
    <x v="7"/>
    <n v="1501.34"/>
  </r>
  <r>
    <x v="324"/>
    <x v="2"/>
    <x v="6"/>
    <x v="3"/>
    <x v="5"/>
    <n v="627.72"/>
  </r>
  <r>
    <x v="45"/>
    <x v="3"/>
    <x v="5"/>
    <x v="2"/>
    <x v="6"/>
    <n v="3159.24"/>
  </r>
  <r>
    <x v="235"/>
    <x v="0"/>
    <x v="7"/>
    <x v="0"/>
    <x v="3"/>
    <n v="1261.55"/>
  </r>
  <r>
    <x v="17"/>
    <x v="1"/>
    <x v="4"/>
    <x v="3"/>
    <x v="3"/>
    <n v="581.63"/>
  </r>
  <r>
    <x v="325"/>
    <x v="3"/>
    <x v="7"/>
    <x v="0"/>
    <x v="2"/>
    <n v="1888.58"/>
  </r>
  <r>
    <x v="326"/>
    <x v="0"/>
    <x v="2"/>
    <x v="2"/>
    <x v="1"/>
    <n v="1429"/>
  </r>
  <r>
    <x v="327"/>
    <x v="2"/>
    <x v="2"/>
    <x v="2"/>
    <x v="0"/>
    <n v="1649.68"/>
  </r>
  <r>
    <x v="11"/>
    <x v="1"/>
    <x v="1"/>
    <x v="1"/>
    <x v="4"/>
    <n v="676.16"/>
  </r>
  <r>
    <x v="11"/>
    <x v="1"/>
    <x v="6"/>
    <x v="3"/>
    <x v="7"/>
    <n v="1956"/>
  </r>
  <r>
    <x v="74"/>
    <x v="3"/>
    <x v="7"/>
    <x v="0"/>
    <x v="5"/>
    <n v="1735.35"/>
  </r>
  <r>
    <x v="328"/>
    <x v="1"/>
    <x v="2"/>
    <x v="2"/>
    <x v="2"/>
    <n v="1576.26"/>
  </r>
  <r>
    <x v="329"/>
    <x v="3"/>
    <x v="7"/>
    <x v="0"/>
    <x v="3"/>
    <n v="483.36"/>
  </r>
  <r>
    <x v="330"/>
    <x v="1"/>
    <x v="5"/>
    <x v="2"/>
    <x v="0"/>
    <n v="1480.36"/>
  </r>
  <r>
    <x v="331"/>
    <x v="2"/>
    <x v="4"/>
    <x v="3"/>
    <x v="6"/>
    <n v="1248.0999999999999"/>
  </r>
  <r>
    <x v="232"/>
    <x v="0"/>
    <x v="4"/>
    <x v="3"/>
    <x v="4"/>
    <n v="560.54999999999995"/>
  </r>
  <r>
    <x v="43"/>
    <x v="0"/>
    <x v="2"/>
    <x v="2"/>
    <x v="2"/>
    <n v="327.04000000000002"/>
  </r>
  <r>
    <x v="316"/>
    <x v="2"/>
    <x v="7"/>
    <x v="0"/>
    <x v="0"/>
    <n v="935.28"/>
  </r>
  <r>
    <x v="332"/>
    <x v="1"/>
    <x v="3"/>
    <x v="1"/>
    <x v="3"/>
    <n v="2125.16"/>
  </r>
  <r>
    <x v="333"/>
    <x v="1"/>
    <x v="2"/>
    <x v="2"/>
    <x v="1"/>
    <n v="612.45000000000005"/>
  </r>
  <r>
    <x v="211"/>
    <x v="2"/>
    <x v="5"/>
    <x v="2"/>
    <x v="3"/>
    <n v="2867.1"/>
  </r>
  <r>
    <x v="113"/>
    <x v="1"/>
    <x v="7"/>
    <x v="0"/>
    <x v="0"/>
    <n v="525.73"/>
  </r>
  <r>
    <x v="172"/>
    <x v="2"/>
    <x v="7"/>
    <x v="0"/>
    <x v="1"/>
    <n v="443.65"/>
  </r>
  <r>
    <x v="8"/>
    <x v="3"/>
    <x v="2"/>
    <x v="2"/>
    <x v="5"/>
    <n v="278.68"/>
  </r>
  <r>
    <x v="117"/>
    <x v="0"/>
    <x v="2"/>
    <x v="2"/>
    <x v="2"/>
    <n v="840.25"/>
  </r>
  <r>
    <x v="321"/>
    <x v="0"/>
    <x v="0"/>
    <x v="0"/>
    <x v="6"/>
    <n v="2093.46"/>
  </r>
  <r>
    <x v="77"/>
    <x v="3"/>
    <x v="2"/>
    <x v="2"/>
    <x v="2"/>
    <n v="1700.78"/>
  </r>
  <r>
    <x v="334"/>
    <x v="1"/>
    <x v="5"/>
    <x v="2"/>
    <x v="6"/>
    <n v="3608.32"/>
  </r>
  <r>
    <x v="335"/>
    <x v="3"/>
    <x v="3"/>
    <x v="1"/>
    <x v="0"/>
    <n v="1363.77"/>
  </r>
  <r>
    <x v="336"/>
    <x v="2"/>
    <x v="2"/>
    <x v="2"/>
    <x v="2"/>
    <n v="1593.79"/>
  </r>
  <r>
    <x v="337"/>
    <x v="2"/>
    <x v="6"/>
    <x v="3"/>
    <x v="3"/>
    <n v="2436.7800000000002"/>
  </r>
  <r>
    <x v="338"/>
    <x v="0"/>
    <x v="7"/>
    <x v="0"/>
    <x v="0"/>
    <n v="185.21"/>
  </r>
  <r>
    <x v="102"/>
    <x v="1"/>
    <x v="2"/>
    <x v="2"/>
    <x v="6"/>
    <n v="3772.56"/>
  </r>
  <r>
    <x v="339"/>
    <x v="0"/>
    <x v="7"/>
    <x v="0"/>
    <x v="2"/>
    <n v="1684.83"/>
  </r>
  <r>
    <x v="252"/>
    <x v="1"/>
    <x v="3"/>
    <x v="1"/>
    <x v="6"/>
    <n v="2167.84"/>
  </r>
  <r>
    <x v="328"/>
    <x v="1"/>
    <x v="5"/>
    <x v="2"/>
    <x v="6"/>
    <n v="3715.16"/>
  </r>
  <r>
    <x v="340"/>
    <x v="1"/>
    <x v="4"/>
    <x v="3"/>
    <x v="2"/>
    <n v="477.1"/>
  </r>
  <r>
    <x v="341"/>
    <x v="0"/>
    <x v="6"/>
    <x v="3"/>
    <x v="1"/>
    <n v="1234.9000000000001"/>
  </r>
  <r>
    <x v="342"/>
    <x v="3"/>
    <x v="3"/>
    <x v="1"/>
    <x v="0"/>
    <n v="1211.4000000000001"/>
  </r>
  <r>
    <x v="75"/>
    <x v="2"/>
    <x v="5"/>
    <x v="2"/>
    <x v="5"/>
    <n v="1469.26"/>
  </r>
  <r>
    <x v="343"/>
    <x v="3"/>
    <x v="0"/>
    <x v="0"/>
    <x v="6"/>
    <n v="901.4"/>
  </r>
  <r>
    <x v="246"/>
    <x v="0"/>
    <x v="0"/>
    <x v="0"/>
    <x v="4"/>
    <n v="365"/>
  </r>
  <r>
    <x v="48"/>
    <x v="1"/>
    <x v="7"/>
    <x v="0"/>
    <x v="5"/>
    <n v="1466.8"/>
  </r>
  <r>
    <x v="224"/>
    <x v="0"/>
    <x v="0"/>
    <x v="0"/>
    <x v="5"/>
    <n v="810.98"/>
  </r>
  <r>
    <x v="42"/>
    <x v="2"/>
    <x v="7"/>
    <x v="0"/>
    <x v="7"/>
    <n v="636.54"/>
  </r>
  <r>
    <x v="185"/>
    <x v="0"/>
    <x v="0"/>
    <x v="0"/>
    <x v="5"/>
    <n v="815.04"/>
  </r>
  <r>
    <x v="344"/>
    <x v="2"/>
    <x v="7"/>
    <x v="0"/>
    <x v="4"/>
    <n v="245.21"/>
  </r>
  <r>
    <x v="345"/>
    <x v="1"/>
    <x v="1"/>
    <x v="1"/>
    <x v="0"/>
    <n v="1386.43"/>
  </r>
  <r>
    <x v="346"/>
    <x v="0"/>
    <x v="2"/>
    <x v="2"/>
    <x v="5"/>
    <n v="656.53"/>
  </r>
  <r>
    <x v="319"/>
    <x v="1"/>
    <x v="2"/>
    <x v="2"/>
    <x v="3"/>
    <n v="2257.3000000000002"/>
  </r>
  <r>
    <x v="347"/>
    <x v="1"/>
    <x v="6"/>
    <x v="3"/>
    <x v="0"/>
    <n v="584.26"/>
  </r>
  <r>
    <x v="72"/>
    <x v="0"/>
    <x v="4"/>
    <x v="3"/>
    <x v="7"/>
    <n v="2893.97"/>
  </r>
  <r>
    <x v="348"/>
    <x v="3"/>
    <x v="4"/>
    <x v="3"/>
    <x v="2"/>
    <n v="1276.8800000000001"/>
  </r>
  <r>
    <x v="25"/>
    <x v="2"/>
    <x v="2"/>
    <x v="2"/>
    <x v="7"/>
    <n v="1274.8499999999999"/>
  </r>
  <r>
    <x v="349"/>
    <x v="3"/>
    <x v="2"/>
    <x v="2"/>
    <x v="3"/>
    <n v="1384.51"/>
  </r>
  <r>
    <x v="350"/>
    <x v="1"/>
    <x v="0"/>
    <x v="0"/>
    <x v="5"/>
    <n v="1647.19"/>
  </r>
  <r>
    <x v="351"/>
    <x v="3"/>
    <x v="3"/>
    <x v="1"/>
    <x v="0"/>
    <n v="1451.24"/>
  </r>
  <r>
    <x v="326"/>
    <x v="0"/>
    <x v="0"/>
    <x v="0"/>
    <x v="7"/>
    <n v="2983.98"/>
  </r>
  <r>
    <x v="258"/>
    <x v="2"/>
    <x v="5"/>
    <x v="2"/>
    <x v="3"/>
    <n v="2672.04"/>
  </r>
  <r>
    <x v="149"/>
    <x v="1"/>
    <x v="6"/>
    <x v="3"/>
    <x v="2"/>
    <n v="1232.3900000000001"/>
  </r>
  <r>
    <x v="352"/>
    <x v="0"/>
    <x v="0"/>
    <x v="0"/>
    <x v="3"/>
    <n v="2016.36"/>
  </r>
  <r>
    <x v="353"/>
    <x v="0"/>
    <x v="0"/>
    <x v="0"/>
    <x v="4"/>
    <n v="545.82000000000005"/>
  </r>
  <r>
    <x v="204"/>
    <x v="2"/>
    <x v="5"/>
    <x v="2"/>
    <x v="3"/>
    <n v="853.91"/>
  </r>
  <r>
    <x v="61"/>
    <x v="2"/>
    <x v="1"/>
    <x v="1"/>
    <x v="0"/>
    <n v="684.03"/>
  </r>
  <r>
    <x v="260"/>
    <x v="2"/>
    <x v="0"/>
    <x v="0"/>
    <x v="5"/>
    <n v="770.5"/>
  </r>
  <r>
    <x v="354"/>
    <x v="3"/>
    <x v="1"/>
    <x v="1"/>
    <x v="3"/>
    <n v="1237.24"/>
  </r>
  <r>
    <x v="345"/>
    <x v="1"/>
    <x v="5"/>
    <x v="2"/>
    <x v="7"/>
    <n v="843.56"/>
  </r>
  <r>
    <x v="355"/>
    <x v="3"/>
    <x v="3"/>
    <x v="1"/>
    <x v="2"/>
    <n v="1410.65"/>
  </r>
  <r>
    <x v="334"/>
    <x v="1"/>
    <x v="7"/>
    <x v="0"/>
    <x v="1"/>
    <n v="1808.81"/>
  </r>
  <r>
    <x v="178"/>
    <x v="3"/>
    <x v="4"/>
    <x v="3"/>
    <x v="0"/>
    <n v="1089.21"/>
  </r>
  <r>
    <x v="356"/>
    <x v="2"/>
    <x v="3"/>
    <x v="1"/>
    <x v="5"/>
    <n v="126.79"/>
  </r>
  <r>
    <x v="357"/>
    <x v="0"/>
    <x v="7"/>
    <x v="0"/>
    <x v="4"/>
    <n v="409.34"/>
  </r>
  <r>
    <x v="358"/>
    <x v="2"/>
    <x v="3"/>
    <x v="1"/>
    <x v="5"/>
    <n v="733.07"/>
  </r>
  <r>
    <x v="301"/>
    <x v="0"/>
    <x v="4"/>
    <x v="3"/>
    <x v="4"/>
    <n v="537.69000000000005"/>
  </r>
  <r>
    <x v="359"/>
    <x v="0"/>
    <x v="1"/>
    <x v="1"/>
    <x v="1"/>
    <n v="218.85"/>
  </r>
  <r>
    <x v="337"/>
    <x v="2"/>
    <x v="7"/>
    <x v="0"/>
    <x v="4"/>
    <n v="486.95"/>
  </r>
  <r>
    <x v="360"/>
    <x v="2"/>
    <x v="3"/>
    <x v="1"/>
    <x v="1"/>
    <n v="1118.52"/>
  </r>
  <r>
    <x v="361"/>
    <x v="2"/>
    <x v="3"/>
    <x v="1"/>
    <x v="4"/>
    <n v="792.68"/>
  </r>
  <r>
    <x v="362"/>
    <x v="3"/>
    <x v="5"/>
    <x v="2"/>
    <x v="5"/>
    <n v="1614.51"/>
  </r>
  <r>
    <x v="363"/>
    <x v="3"/>
    <x v="6"/>
    <x v="3"/>
    <x v="5"/>
    <n v="547.44000000000005"/>
  </r>
  <r>
    <x v="364"/>
    <x v="0"/>
    <x v="4"/>
    <x v="3"/>
    <x v="2"/>
    <n v="177.62"/>
  </r>
  <r>
    <x v="7"/>
    <x v="0"/>
    <x v="2"/>
    <x v="2"/>
    <x v="5"/>
    <n v="662.68"/>
  </r>
  <r>
    <x v="365"/>
    <x v="2"/>
    <x v="0"/>
    <x v="0"/>
    <x v="6"/>
    <n v="3333.04"/>
  </r>
  <r>
    <x v="366"/>
    <x v="3"/>
    <x v="2"/>
    <x v="2"/>
    <x v="0"/>
    <n v="161.47999999999999"/>
  </r>
  <r>
    <x v="367"/>
    <x v="1"/>
    <x v="5"/>
    <x v="2"/>
    <x v="0"/>
    <n v="1552.51"/>
  </r>
  <r>
    <x v="368"/>
    <x v="1"/>
    <x v="5"/>
    <x v="2"/>
    <x v="3"/>
    <n v="2475.64"/>
  </r>
  <r>
    <x v="369"/>
    <x v="1"/>
    <x v="1"/>
    <x v="1"/>
    <x v="1"/>
    <n v="394.41"/>
  </r>
  <r>
    <x v="370"/>
    <x v="3"/>
    <x v="3"/>
    <x v="1"/>
    <x v="6"/>
    <n v="3570.84"/>
  </r>
  <r>
    <x v="236"/>
    <x v="1"/>
    <x v="5"/>
    <x v="2"/>
    <x v="1"/>
    <n v="780.79"/>
  </r>
  <r>
    <x v="371"/>
    <x v="2"/>
    <x v="3"/>
    <x v="1"/>
    <x v="1"/>
    <n v="241.67"/>
  </r>
  <r>
    <x v="372"/>
    <x v="0"/>
    <x v="1"/>
    <x v="1"/>
    <x v="7"/>
    <n v="324"/>
  </r>
  <r>
    <x v="373"/>
    <x v="2"/>
    <x v="5"/>
    <x v="2"/>
    <x v="4"/>
    <n v="788.94"/>
  </r>
  <r>
    <x v="374"/>
    <x v="1"/>
    <x v="1"/>
    <x v="1"/>
    <x v="0"/>
    <n v="1650.64"/>
  </r>
  <r>
    <x v="375"/>
    <x v="0"/>
    <x v="0"/>
    <x v="0"/>
    <x v="4"/>
    <n v="380.22"/>
  </r>
  <r>
    <x v="376"/>
    <x v="0"/>
    <x v="6"/>
    <x v="3"/>
    <x v="2"/>
    <n v="509.21"/>
  </r>
  <r>
    <x v="377"/>
    <x v="0"/>
    <x v="3"/>
    <x v="1"/>
    <x v="4"/>
    <n v="340.49"/>
  </r>
  <r>
    <x v="15"/>
    <x v="3"/>
    <x v="6"/>
    <x v="3"/>
    <x v="4"/>
    <n v="120.48"/>
  </r>
  <r>
    <x v="378"/>
    <x v="3"/>
    <x v="3"/>
    <x v="1"/>
    <x v="1"/>
    <n v="903.05"/>
  </r>
  <r>
    <x v="293"/>
    <x v="0"/>
    <x v="3"/>
    <x v="1"/>
    <x v="4"/>
    <n v="252.3"/>
  </r>
  <r>
    <x v="26"/>
    <x v="3"/>
    <x v="7"/>
    <x v="0"/>
    <x v="7"/>
    <n v="1763.57"/>
  </r>
  <r>
    <x v="233"/>
    <x v="3"/>
    <x v="6"/>
    <x v="3"/>
    <x v="2"/>
    <n v="1188.17"/>
  </r>
  <r>
    <x v="379"/>
    <x v="1"/>
    <x v="6"/>
    <x v="3"/>
    <x v="1"/>
    <n v="278.98"/>
  </r>
  <r>
    <x v="356"/>
    <x v="2"/>
    <x v="3"/>
    <x v="1"/>
    <x v="3"/>
    <n v="424.1"/>
  </r>
  <r>
    <x v="380"/>
    <x v="1"/>
    <x v="0"/>
    <x v="0"/>
    <x v="7"/>
    <n v="902.03"/>
  </r>
  <r>
    <x v="69"/>
    <x v="3"/>
    <x v="0"/>
    <x v="0"/>
    <x v="3"/>
    <n v="552.51"/>
  </r>
  <r>
    <x v="381"/>
    <x v="0"/>
    <x v="0"/>
    <x v="0"/>
    <x v="3"/>
    <n v="1555.04"/>
  </r>
  <r>
    <x v="79"/>
    <x v="3"/>
    <x v="5"/>
    <x v="2"/>
    <x v="6"/>
    <n v="2339.6"/>
  </r>
  <r>
    <x v="382"/>
    <x v="0"/>
    <x v="5"/>
    <x v="2"/>
    <x v="4"/>
    <n v="328.92"/>
  </r>
  <r>
    <x v="383"/>
    <x v="2"/>
    <x v="2"/>
    <x v="2"/>
    <x v="4"/>
    <n v="312.16000000000003"/>
  </r>
  <r>
    <x v="153"/>
    <x v="2"/>
    <x v="1"/>
    <x v="1"/>
    <x v="2"/>
    <n v="941.44"/>
  </r>
  <r>
    <x v="302"/>
    <x v="1"/>
    <x v="6"/>
    <x v="3"/>
    <x v="7"/>
    <n v="2907.36"/>
  </r>
  <r>
    <x v="384"/>
    <x v="3"/>
    <x v="5"/>
    <x v="2"/>
    <x v="3"/>
    <n v="2418.02"/>
  </r>
  <r>
    <x v="217"/>
    <x v="3"/>
    <x v="2"/>
    <x v="2"/>
    <x v="7"/>
    <n v="1700.22"/>
  </r>
  <r>
    <x v="379"/>
    <x v="1"/>
    <x v="3"/>
    <x v="1"/>
    <x v="4"/>
    <n v="707.19"/>
  </r>
  <r>
    <x v="385"/>
    <x v="0"/>
    <x v="6"/>
    <x v="3"/>
    <x v="7"/>
    <n v="1254.32"/>
  </r>
  <r>
    <x v="386"/>
    <x v="2"/>
    <x v="6"/>
    <x v="3"/>
    <x v="3"/>
    <n v="2007.82"/>
  </r>
  <r>
    <x v="387"/>
    <x v="2"/>
    <x v="1"/>
    <x v="1"/>
    <x v="3"/>
    <n v="282.25"/>
  </r>
  <r>
    <x v="388"/>
    <x v="1"/>
    <x v="2"/>
    <x v="2"/>
    <x v="4"/>
    <n v="438.41"/>
  </r>
  <r>
    <x v="157"/>
    <x v="2"/>
    <x v="6"/>
    <x v="3"/>
    <x v="0"/>
    <n v="1119.3"/>
  </r>
  <r>
    <x v="34"/>
    <x v="1"/>
    <x v="4"/>
    <x v="3"/>
    <x v="6"/>
    <n v="2271.7800000000002"/>
  </r>
  <r>
    <x v="389"/>
    <x v="0"/>
    <x v="2"/>
    <x v="2"/>
    <x v="0"/>
    <n v="618.34"/>
  </r>
  <r>
    <x v="262"/>
    <x v="0"/>
    <x v="6"/>
    <x v="3"/>
    <x v="7"/>
    <n v="1422.45"/>
  </r>
  <r>
    <x v="390"/>
    <x v="3"/>
    <x v="6"/>
    <x v="3"/>
    <x v="0"/>
    <n v="1903.18"/>
  </r>
  <r>
    <x v="391"/>
    <x v="2"/>
    <x v="3"/>
    <x v="1"/>
    <x v="5"/>
    <n v="411.94"/>
  </r>
  <r>
    <x v="392"/>
    <x v="1"/>
    <x v="1"/>
    <x v="1"/>
    <x v="1"/>
    <n v="146.86000000000001"/>
  </r>
  <r>
    <x v="256"/>
    <x v="1"/>
    <x v="6"/>
    <x v="3"/>
    <x v="6"/>
    <n v="2916.52"/>
  </r>
  <r>
    <x v="393"/>
    <x v="2"/>
    <x v="6"/>
    <x v="3"/>
    <x v="5"/>
    <n v="647.72"/>
  </r>
  <r>
    <x v="240"/>
    <x v="3"/>
    <x v="2"/>
    <x v="2"/>
    <x v="6"/>
    <n v="890.08"/>
  </r>
  <r>
    <x v="194"/>
    <x v="1"/>
    <x v="3"/>
    <x v="1"/>
    <x v="6"/>
    <n v="1082.32"/>
  </r>
  <r>
    <x v="394"/>
    <x v="3"/>
    <x v="1"/>
    <x v="1"/>
    <x v="2"/>
    <n v="1536.94"/>
  </r>
  <r>
    <x v="177"/>
    <x v="2"/>
    <x v="4"/>
    <x v="3"/>
    <x v="2"/>
    <n v="747.3"/>
  </r>
  <r>
    <x v="384"/>
    <x v="3"/>
    <x v="1"/>
    <x v="1"/>
    <x v="0"/>
    <n v="641.13"/>
  </r>
  <r>
    <x v="309"/>
    <x v="1"/>
    <x v="0"/>
    <x v="0"/>
    <x v="5"/>
    <n v="377.61"/>
  </r>
  <r>
    <x v="109"/>
    <x v="2"/>
    <x v="2"/>
    <x v="2"/>
    <x v="1"/>
    <n v="1803.8"/>
  </r>
  <r>
    <x v="395"/>
    <x v="2"/>
    <x v="7"/>
    <x v="0"/>
    <x v="4"/>
    <n v="236.39"/>
  </r>
  <r>
    <x v="94"/>
    <x v="3"/>
    <x v="5"/>
    <x v="2"/>
    <x v="6"/>
    <n v="2269.14"/>
  </r>
  <r>
    <x v="396"/>
    <x v="3"/>
    <x v="1"/>
    <x v="1"/>
    <x v="4"/>
    <n v="447.97"/>
  </r>
  <r>
    <x v="45"/>
    <x v="3"/>
    <x v="2"/>
    <x v="2"/>
    <x v="3"/>
    <n v="2740.63"/>
  </r>
  <r>
    <x v="397"/>
    <x v="3"/>
    <x v="5"/>
    <x v="2"/>
    <x v="6"/>
    <n v="3006.2"/>
  </r>
  <r>
    <x v="197"/>
    <x v="2"/>
    <x v="5"/>
    <x v="2"/>
    <x v="6"/>
    <n v="2136.88"/>
  </r>
  <r>
    <x v="276"/>
    <x v="0"/>
    <x v="4"/>
    <x v="3"/>
    <x v="5"/>
    <n v="106.32"/>
  </r>
  <r>
    <x v="398"/>
    <x v="1"/>
    <x v="2"/>
    <x v="2"/>
    <x v="1"/>
    <n v="932.7"/>
  </r>
  <r>
    <x v="87"/>
    <x v="0"/>
    <x v="4"/>
    <x v="3"/>
    <x v="3"/>
    <n v="2697.94"/>
  </r>
  <r>
    <x v="178"/>
    <x v="3"/>
    <x v="4"/>
    <x v="3"/>
    <x v="5"/>
    <n v="205.62"/>
  </r>
  <r>
    <x v="64"/>
    <x v="2"/>
    <x v="6"/>
    <x v="3"/>
    <x v="0"/>
    <n v="323.25"/>
  </r>
  <r>
    <x v="399"/>
    <x v="3"/>
    <x v="0"/>
    <x v="0"/>
    <x v="2"/>
    <n v="1873.82"/>
  </r>
  <r>
    <x v="250"/>
    <x v="0"/>
    <x v="3"/>
    <x v="1"/>
    <x v="5"/>
    <n v="1955.71"/>
  </r>
  <r>
    <x v="26"/>
    <x v="3"/>
    <x v="2"/>
    <x v="2"/>
    <x v="6"/>
    <n v="3528.44"/>
  </r>
  <r>
    <x v="319"/>
    <x v="1"/>
    <x v="6"/>
    <x v="3"/>
    <x v="3"/>
    <n v="631.83000000000004"/>
  </r>
  <r>
    <x v="400"/>
    <x v="3"/>
    <x v="2"/>
    <x v="2"/>
    <x v="0"/>
    <n v="1932.41"/>
  </r>
  <r>
    <x v="313"/>
    <x v="1"/>
    <x v="4"/>
    <x v="3"/>
    <x v="3"/>
    <n v="1047"/>
  </r>
  <r>
    <x v="401"/>
    <x v="0"/>
    <x v="5"/>
    <x v="2"/>
    <x v="1"/>
    <n v="1205.3599999999999"/>
  </r>
  <r>
    <x v="232"/>
    <x v="0"/>
    <x v="1"/>
    <x v="1"/>
    <x v="1"/>
    <n v="203.54"/>
  </r>
  <r>
    <x v="402"/>
    <x v="3"/>
    <x v="0"/>
    <x v="0"/>
    <x v="5"/>
    <n v="1491.84"/>
  </r>
  <r>
    <x v="403"/>
    <x v="3"/>
    <x v="5"/>
    <x v="2"/>
    <x v="6"/>
    <n v="3885.96"/>
  </r>
  <r>
    <x v="35"/>
    <x v="3"/>
    <x v="7"/>
    <x v="0"/>
    <x v="4"/>
    <n v="654.94000000000005"/>
  </r>
  <r>
    <x v="199"/>
    <x v="1"/>
    <x v="4"/>
    <x v="3"/>
    <x v="0"/>
    <n v="131.82"/>
  </r>
  <r>
    <x v="268"/>
    <x v="2"/>
    <x v="2"/>
    <x v="2"/>
    <x v="7"/>
    <n v="1497.39"/>
  </r>
  <r>
    <x v="29"/>
    <x v="1"/>
    <x v="5"/>
    <x v="2"/>
    <x v="0"/>
    <n v="1213.98"/>
  </r>
  <r>
    <x v="190"/>
    <x v="3"/>
    <x v="5"/>
    <x v="2"/>
    <x v="5"/>
    <n v="343.29"/>
  </r>
  <r>
    <x v="404"/>
    <x v="0"/>
    <x v="6"/>
    <x v="3"/>
    <x v="4"/>
    <n v="572.65"/>
  </r>
  <r>
    <x v="58"/>
    <x v="3"/>
    <x v="0"/>
    <x v="0"/>
    <x v="4"/>
    <n v="481.34"/>
  </r>
  <r>
    <x v="405"/>
    <x v="1"/>
    <x v="7"/>
    <x v="0"/>
    <x v="5"/>
    <n v="699.74"/>
  </r>
  <r>
    <x v="177"/>
    <x v="2"/>
    <x v="7"/>
    <x v="0"/>
    <x v="1"/>
    <n v="1020.24"/>
  </r>
  <r>
    <x v="21"/>
    <x v="3"/>
    <x v="3"/>
    <x v="1"/>
    <x v="2"/>
    <n v="1502.67"/>
  </r>
  <r>
    <x v="300"/>
    <x v="0"/>
    <x v="1"/>
    <x v="1"/>
    <x v="0"/>
    <n v="514.98"/>
  </r>
  <r>
    <x v="267"/>
    <x v="2"/>
    <x v="0"/>
    <x v="0"/>
    <x v="3"/>
    <n v="1873.81"/>
  </r>
  <r>
    <x v="406"/>
    <x v="0"/>
    <x v="7"/>
    <x v="0"/>
    <x v="6"/>
    <n v="3970.44"/>
  </r>
  <r>
    <x v="215"/>
    <x v="1"/>
    <x v="6"/>
    <x v="3"/>
    <x v="4"/>
    <n v="641.79999999999995"/>
  </r>
  <r>
    <x v="407"/>
    <x v="2"/>
    <x v="0"/>
    <x v="0"/>
    <x v="3"/>
    <n v="850.7"/>
  </r>
  <r>
    <x v="408"/>
    <x v="1"/>
    <x v="6"/>
    <x v="3"/>
    <x v="0"/>
    <n v="1738.09"/>
  </r>
  <r>
    <x v="133"/>
    <x v="1"/>
    <x v="7"/>
    <x v="0"/>
    <x v="3"/>
    <n v="2612.98"/>
  </r>
  <r>
    <x v="409"/>
    <x v="1"/>
    <x v="7"/>
    <x v="0"/>
    <x v="0"/>
    <n v="176.72"/>
  </r>
  <r>
    <x v="41"/>
    <x v="3"/>
    <x v="5"/>
    <x v="2"/>
    <x v="6"/>
    <n v="1157.8599999999999"/>
  </r>
  <r>
    <x v="232"/>
    <x v="0"/>
    <x v="1"/>
    <x v="1"/>
    <x v="3"/>
    <n v="1609.45"/>
  </r>
  <r>
    <x v="153"/>
    <x v="2"/>
    <x v="7"/>
    <x v="0"/>
    <x v="2"/>
    <n v="1344.73"/>
  </r>
  <r>
    <x v="410"/>
    <x v="0"/>
    <x v="5"/>
    <x v="2"/>
    <x v="1"/>
    <n v="780.11"/>
  </r>
  <r>
    <x v="154"/>
    <x v="1"/>
    <x v="4"/>
    <x v="3"/>
    <x v="5"/>
    <n v="155.11000000000001"/>
  </r>
  <r>
    <x v="175"/>
    <x v="3"/>
    <x v="6"/>
    <x v="3"/>
    <x v="5"/>
    <n v="625.34"/>
  </r>
  <r>
    <x v="170"/>
    <x v="2"/>
    <x v="7"/>
    <x v="0"/>
    <x v="1"/>
    <n v="1406.4"/>
  </r>
  <r>
    <x v="316"/>
    <x v="2"/>
    <x v="5"/>
    <x v="2"/>
    <x v="6"/>
    <n v="1885.7"/>
  </r>
  <r>
    <x v="194"/>
    <x v="1"/>
    <x v="3"/>
    <x v="1"/>
    <x v="1"/>
    <n v="743.69"/>
  </r>
  <r>
    <x v="411"/>
    <x v="2"/>
    <x v="4"/>
    <x v="3"/>
    <x v="6"/>
    <n v="3948.18"/>
  </r>
  <r>
    <x v="202"/>
    <x v="3"/>
    <x v="0"/>
    <x v="0"/>
    <x v="6"/>
    <n v="2795.44"/>
  </r>
  <r>
    <x v="412"/>
    <x v="0"/>
    <x v="7"/>
    <x v="0"/>
    <x v="2"/>
    <n v="1619.32"/>
  </r>
  <r>
    <x v="413"/>
    <x v="1"/>
    <x v="5"/>
    <x v="2"/>
    <x v="2"/>
    <n v="510.13"/>
  </r>
  <r>
    <x v="74"/>
    <x v="3"/>
    <x v="3"/>
    <x v="1"/>
    <x v="2"/>
    <n v="1382.99"/>
  </r>
  <r>
    <x v="73"/>
    <x v="3"/>
    <x v="0"/>
    <x v="0"/>
    <x v="3"/>
    <n v="2423.66"/>
  </r>
  <r>
    <x v="179"/>
    <x v="2"/>
    <x v="2"/>
    <x v="2"/>
    <x v="5"/>
    <n v="1000.49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600">
  <r>
    <x v="0"/>
    <x v="0"/>
    <x v="0"/>
    <x v="0"/>
    <x v="0"/>
    <n v="378.45"/>
  </r>
  <r>
    <x v="1"/>
    <x v="0"/>
    <x v="1"/>
    <x v="1"/>
    <x v="1"/>
    <n v="1810.38"/>
  </r>
  <r>
    <x v="2"/>
    <x v="1"/>
    <x v="2"/>
    <x v="2"/>
    <x v="2"/>
    <n v="1153.96"/>
  </r>
  <r>
    <x v="3"/>
    <x v="2"/>
    <x v="1"/>
    <x v="1"/>
    <x v="3"/>
    <n v="2083.9299999999998"/>
  </r>
  <r>
    <x v="4"/>
    <x v="3"/>
    <x v="1"/>
    <x v="1"/>
    <x v="4"/>
    <n v="627"/>
  </r>
  <r>
    <x v="5"/>
    <x v="0"/>
    <x v="3"/>
    <x v="1"/>
    <x v="1"/>
    <n v="442.77"/>
  </r>
  <r>
    <x v="6"/>
    <x v="3"/>
    <x v="4"/>
    <x v="3"/>
    <x v="1"/>
    <n v="1459.65"/>
  </r>
  <r>
    <x v="7"/>
    <x v="0"/>
    <x v="1"/>
    <x v="1"/>
    <x v="1"/>
    <n v="1073.18"/>
  </r>
  <r>
    <x v="8"/>
    <x v="3"/>
    <x v="2"/>
    <x v="2"/>
    <x v="4"/>
    <n v="706.03"/>
  </r>
  <r>
    <x v="9"/>
    <x v="0"/>
    <x v="2"/>
    <x v="2"/>
    <x v="3"/>
    <n v="1519.22"/>
  </r>
  <r>
    <x v="10"/>
    <x v="3"/>
    <x v="5"/>
    <x v="2"/>
    <x v="0"/>
    <n v="1217.73"/>
  </r>
  <r>
    <x v="11"/>
    <x v="1"/>
    <x v="6"/>
    <x v="3"/>
    <x v="3"/>
    <n v="2242.6"/>
  </r>
  <r>
    <x v="12"/>
    <x v="2"/>
    <x v="6"/>
    <x v="3"/>
    <x v="0"/>
    <n v="834.45"/>
  </r>
  <r>
    <x v="13"/>
    <x v="0"/>
    <x v="5"/>
    <x v="2"/>
    <x v="5"/>
    <n v="227.27"/>
  </r>
  <r>
    <x v="14"/>
    <x v="3"/>
    <x v="6"/>
    <x v="3"/>
    <x v="1"/>
    <n v="1625.66"/>
  </r>
  <r>
    <x v="15"/>
    <x v="3"/>
    <x v="4"/>
    <x v="3"/>
    <x v="6"/>
    <n v="1443.02"/>
  </r>
  <r>
    <x v="16"/>
    <x v="0"/>
    <x v="2"/>
    <x v="2"/>
    <x v="0"/>
    <n v="644.6"/>
  </r>
  <r>
    <x v="17"/>
    <x v="1"/>
    <x v="2"/>
    <x v="2"/>
    <x v="1"/>
    <n v="886.38"/>
  </r>
  <r>
    <x v="18"/>
    <x v="0"/>
    <x v="7"/>
    <x v="0"/>
    <x v="0"/>
    <n v="228.24"/>
  </r>
  <r>
    <x v="19"/>
    <x v="1"/>
    <x v="3"/>
    <x v="1"/>
    <x v="1"/>
    <n v="741.85"/>
  </r>
  <r>
    <x v="20"/>
    <x v="2"/>
    <x v="4"/>
    <x v="3"/>
    <x v="7"/>
    <n v="2201.5100000000002"/>
  </r>
  <r>
    <x v="21"/>
    <x v="3"/>
    <x v="1"/>
    <x v="1"/>
    <x v="0"/>
    <n v="1946.35"/>
  </r>
  <r>
    <x v="22"/>
    <x v="1"/>
    <x v="7"/>
    <x v="0"/>
    <x v="2"/>
    <n v="1450.11"/>
  </r>
  <r>
    <x v="23"/>
    <x v="3"/>
    <x v="3"/>
    <x v="1"/>
    <x v="6"/>
    <n v="2302.2399999999998"/>
  </r>
  <r>
    <x v="24"/>
    <x v="1"/>
    <x v="4"/>
    <x v="3"/>
    <x v="5"/>
    <n v="642.42999999999995"/>
  </r>
  <r>
    <x v="25"/>
    <x v="2"/>
    <x v="4"/>
    <x v="3"/>
    <x v="1"/>
    <n v="952.24"/>
  </r>
  <r>
    <x v="26"/>
    <x v="3"/>
    <x v="2"/>
    <x v="2"/>
    <x v="0"/>
    <n v="1591.12"/>
  </r>
  <r>
    <x v="27"/>
    <x v="1"/>
    <x v="1"/>
    <x v="1"/>
    <x v="2"/>
    <n v="218.06"/>
  </r>
  <r>
    <x v="28"/>
    <x v="1"/>
    <x v="3"/>
    <x v="1"/>
    <x v="2"/>
    <n v="347.19"/>
  </r>
  <r>
    <x v="29"/>
    <x v="1"/>
    <x v="1"/>
    <x v="1"/>
    <x v="3"/>
    <n v="1867"/>
  </r>
  <r>
    <x v="30"/>
    <x v="0"/>
    <x v="1"/>
    <x v="1"/>
    <x v="4"/>
    <n v="119.97"/>
  </r>
  <r>
    <x v="31"/>
    <x v="3"/>
    <x v="3"/>
    <x v="1"/>
    <x v="6"/>
    <n v="319.12"/>
  </r>
  <r>
    <x v="32"/>
    <x v="3"/>
    <x v="7"/>
    <x v="0"/>
    <x v="0"/>
    <n v="1301.71"/>
  </r>
  <r>
    <x v="33"/>
    <x v="3"/>
    <x v="2"/>
    <x v="2"/>
    <x v="4"/>
    <n v="229.14"/>
  </r>
  <r>
    <x v="34"/>
    <x v="1"/>
    <x v="0"/>
    <x v="0"/>
    <x v="5"/>
    <n v="389.25"/>
  </r>
  <r>
    <x v="35"/>
    <x v="3"/>
    <x v="5"/>
    <x v="2"/>
    <x v="3"/>
    <n v="1577.18"/>
  </r>
  <r>
    <x v="36"/>
    <x v="2"/>
    <x v="4"/>
    <x v="3"/>
    <x v="6"/>
    <n v="3028.88"/>
  </r>
  <r>
    <x v="37"/>
    <x v="1"/>
    <x v="5"/>
    <x v="2"/>
    <x v="7"/>
    <n v="2532.62"/>
  </r>
  <r>
    <x v="38"/>
    <x v="2"/>
    <x v="1"/>
    <x v="1"/>
    <x v="4"/>
    <n v="130.04"/>
  </r>
  <r>
    <x v="39"/>
    <x v="0"/>
    <x v="2"/>
    <x v="2"/>
    <x v="3"/>
    <n v="246.57"/>
  </r>
  <r>
    <x v="40"/>
    <x v="0"/>
    <x v="1"/>
    <x v="1"/>
    <x v="3"/>
    <n v="2850.7"/>
  </r>
  <r>
    <x v="41"/>
    <x v="3"/>
    <x v="3"/>
    <x v="1"/>
    <x v="5"/>
    <n v="615.6"/>
  </r>
  <r>
    <x v="42"/>
    <x v="2"/>
    <x v="3"/>
    <x v="1"/>
    <x v="3"/>
    <n v="2396.1799999999998"/>
  </r>
  <r>
    <x v="43"/>
    <x v="0"/>
    <x v="5"/>
    <x v="2"/>
    <x v="3"/>
    <n v="2408.0500000000002"/>
  </r>
  <r>
    <x v="44"/>
    <x v="1"/>
    <x v="2"/>
    <x v="2"/>
    <x v="0"/>
    <n v="1084.23"/>
  </r>
  <r>
    <x v="4"/>
    <x v="3"/>
    <x v="6"/>
    <x v="3"/>
    <x v="3"/>
    <n v="1504.43"/>
  </r>
  <r>
    <x v="45"/>
    <x v="3"/>
    <x v="0"/>
    <x v="0"/>
    <x v="3"/>
    <n v="1644.89"/>
  </r>
  <r>
    <x v="46"/>
    <x v="3"/>
    <x v="3"/>
    <x v="1"/>
    <x v="3"/>
    <n v="2209.9"/>
  </r>
  <r>
    <x v="47"/>
    <x v="3"/>
    <x v="2"/>
    <x v="2"/>
    <x v="2"/>
    <n v="817.91"/>
  </r>
  <r>
    <x v="48"/>
    <x v="1"/>
    <x v="0"/>
    <x v="0"/>
    <x v="2"/>
    <n v="572.27"/>
  </r>
  <r>
    <x v="49"/>
    <x v="2"/>
    <x v="6"/>
    <x v="3"/>
    <x v="3"/>
    <n v="1003.37"/>
  </r>
  <r>
    <x v="50"/>
    <x v="0"/>
    <x v="4"/>
    <x v="3"/>
    <x v="6"/>
    <n v="3792.66"/>
  </r>
  <r>
    <x v="51"/>
    <x v="0"/>
    <x v="7"/>
    <x v="0"/>
    <x v="3"/>
    <n v="2233.02"/>
  </r>
  <r>
    <x v="52"/>
    <x v="1"/>
    <x v="6"/>
    <x v="3"/>
    <x v="4"/>
    <n v="439.26"/>
  </r>
  <r>
    <x v="53"/>
    <x v="2"/>
    <x v="1"/>
    <x v="1"/>
    <x v="3"/>
    <n v="1676.77"/>
  </r>
  <r>
    <x v="54"/>
    <x v="0"/>
    <x v="6"/>
    <x v="3"/>
    <x v="2"/>
    <n v="911.51"/>
  </r>
  <r>
    <x v="55"/>
    <x v="0"/>
    <x v="0"/>
    <x v="0"/>
    <x v="3"/>
    <n v="2381.4899999999998"/>
  </r>
  <r>
    <x v="56"/>
    <x v="0"/>
    <x v="2"/>
    <x v="2"/>
    <x v="0"/>
    <n v="449.38"/>
  </r>
  <r>
    <x v="57"/>
    <x v="0"/>
    <x v="7"/>
    <x v="0"/>
    <x v="6"/>
    <n v="3206.5"/>
  </r>
  <r>
    <x v="58"/>
    <x v="3"/>
    <x v="1"/>
    <x v="1"/>
    <x v="3"/>
    <n v="1693.69"/>
  </r>
  <r>
    <x v="59"/>
    <x v="3"/>
    <x v="6"/>
    <x v="3"/>
    <x v="2"/>
    <n v="1957.73"/>
  </r>
  <r>
    <x v="60"/>
    <x v="3"/>
    <x v="7"/>
    <x v="0"/>
    <x v="1"/>
    <n v="1290.67"/>
  </r>
  <r>
    <x v="61"/>
    <x v="2"/>
    <x v="4"/>
    <x v="3"/>
    <x v="2"/>
    <n v="1907"/>
  </r>
  <r>
    <x v="62"/>
    <x v="2"/>
    <x v="6"/>
    <x v="3"/>
    <x v="3"/>
    <n v="1158.8699999999999"/>
  </r>
  <r>
    <x v="63"/>
    <x v="3"/>
    <x v="3"/>
    <x v="1"/>
    <x v="3"/>
    <n v="2807.97"/>
  </r>
  <r>
    <x v="64"/>
    <x v="2"/>
    <x v="0"/>
    <x v="0"/>
    <x v="6"/>
    <n v="1073.46"/>
  </r>
  <r>
    <x v="65"/>
    <x v="0"/>
    <x v="6"/>
    <x v="3"/>
    <x v="4"/>
    <n v="622.66999999999996"/>
  </r>
  <r>
    <x v="66"/>
    <x v="3"/>
    <x v="7"/>
    <x v="0"/>
    <x v="6"/>
    <n v="2629.12"/>
  </r>
  <r>
    <x v="67"/>
    <x v="1"/>
    <x v="4"/>
    <x v="3"/>
    <x v="7"/>
    <n v="2731.82"/>
  </r>
  <r>
    <x v="68"/>
    <x v="3"/>
    <x v="6"/>
    <x v="3"/>
    <x v="2"/>
    <n v="1519.23"/>
  </r>
  <r>
    <x v="69"/>
    <x v="3"/>
    <x v="1"/>
    <x v="1"/>
    <x v="0"/>
    <n v="995.56"/>
  </r>
  <r>
    <x v="70"/>
    <x v="0"/>
    <x v="2"/>
    <x v="2"/>
    <x v="1"/>
    <n v="914.54"/>
  </r>
  <r>
    <x v="71"/>
    <x v="1"/>
    <x v="5"/>
    <x v="2"/>
    <x v="0"/>
    <n v="1951.9"/>
  </r>
  <r>
    <x v="72"/>
    <x v="0"/>
    <x v="5"/>
    <x v="2"/>
    <x v="5"/>
    <n v="806.53"/>
  </r>
  <r>
    <x v="73"/>
    <x v="3"/>
    <x v="5"/>
    <x v="2"/>
    <x v="1"/>
    <n v="1243.1500000000001"/>
  </r>
  <r>
    <x v="71"/>
    <x v="1"/>
    <x v="7"/>
    <x v="0"/>
    <x v="5"/>
    <n v="1781.22"/>
  </r>
  <r>
    <x v="74"/>
    <x v="3"/>
    <x v="5"/>
    <x v="2"/>
    <x v="5"/>
    <n v="1593.28"/>
  </r>
  <r>
    <x v="75"/>
    <x v="2"/>
    <x v="2"/>
    <x v="2"/>
    <x v="7"/>
    <n v="2526.54"/>
  </r>
  <r>
    <x v="76"/>
    <x v="3"/>
    <x v="0"/>
    <x v="0"/>
    <x v="7"/>
    <n v="818.46"/>
  </r>
  <r>
    <x v="77"/>
    <x v="3"/>
    <x v="4"/>
    <x v="3"/>
    <x v="1"/>
    <n v="1143.33"/>
  </r>
  <r>
    <x v="78"/>
    <x v="2"/>
    <x v="2"/>
    <x v="2"/>
    <x v="6"/>
    <n v="218.88"/>
  </r>
  <r>
    <x v="79"/>
    <x v="3"/>
    <x v="1"/>
    <x v="1"/>
    <x v="7"/>
    <n v="1999.73"/>
  </r>
  <r>
    <x v="80"/>
    <x v="3"/>
    <x v="4"/>
    <x v="3"/>
    <x v="3"/>
    <n v="2526.25"/>
  </r>
  <r>
    <x v="36"/>
    <x v="2"/>
    <x v="4"/>
    <x v="3"/>
    <x v="2"/>
    <n v="1720.81"/>
  </r>
  <r>
    <x v="28"/>
    <x v="1"/>
    <x v="2"/>
    <x v="2"/>
    <x v="3"/>
    <n v="1091.58"/>
  </r>
  <r>
    <x v="81"/>
    <x v="0"/>
    <x v="5"/>
    <x v="2"/>
    <x v="5"/>
    <n v="724.91"/>
  </r>
  <r>
    <x v="82"/>
    <x v="2"/>
    <x v="2"/>
    <x v="2"/>
    <x v="2"/>
    <n v="866.09"/>
  </r>
  <r>
    <x v="83"/>
    <x v="1"/>
    <x v="2"/>
    <x v="2"/>
    <x v="7"/>
    <n v="1722.87"/>
  </r>
  <r>
    <x v="84"/>
    <x v="1"/>
    <x v="6"/>
    <x v="3"/>
    <x v="5"/>
    <n v="1773.4"/>
  </r>
  <r>
    <x v="85"/>
    <x v="2"/>
    <x v="7"/>
    <x v="0"/>
    <x v="4"/>
    <n v="767.04"/>
  </r>
  <r>
    <x v="86"/>
    <x v="2"/>
    <x v="7"/>
    <x v="0"/>
    <x v="6"/>
    <n v="812.06"/>
  </r>
  <r>
    <x v="87"/>
    <x v="0"/>
    <x v="5"/>
    <x v="2"/>
    <x v="4"/>
    <n v="370"/>
  </r>
  <r>
    <x v="88"/>
    <x v="2"/>
    <x v="5"/>
    <x v="2"/>
    <x v="2"/>
    <n v="1905.4"/>
  </r>
  <r>
    <x v="89"/>
    <x v="0"/>
    <x v="2"/>
    <x v="2"/>
    <x v="6"/>
    <n v="377.44"/>
  </r>
  <r>
    <x v="90"/>
    <x v="1"/>
    <x v="7"/>
    <x v="0"/>
    <x v="1"/>
    <n v="1669.18"/>
  </r>
  <r>
    <x v="19"/>
    <x v="1"/>
    <x v="4"/>
    <x v="3"/>
    <x v="5"/>
    <n v="1868.6"/>
  </r>
  <r>
    <x v="91"/>
    <x v="3"/>
    <x v="1"/>
    <x v="1"/>
    <x v="0"/>
    <n v="1921.91"/>
  </r>
  <r>
    <x v="92"/>
    <x v="0"/>
    <x v="6"/>
    <x v="3"/>
    <x v="3"/>
    <n v="2120.23"/>
  </r>
  <r>
    <x v="93"/>
    <x v="1"/>
    <x v="3"/>
    <x v="1"/>
    <x v="0"/>
    <n v="584.02"/>
  </r>
  <r>
    <x v="94"/>
    <x v="3"/>
    <x v="0"/>
    <x v="0"/>
    <x v="4"/>
    <n v="778.02"/>
  </r>
  <r>
    <x v="3"/>
    <x v="2"/>
    <x v="7"/>
    <x v="0"/>
    <x v="3"/>
    <n v="1965.43"/>
  </r>
  <r>
    <x v="95"/>
    <x v="1"/>
    <x v="3"/>
    <x v="1"/>
    <x v="6"/>
    <n v="1354.8"/>
  </r>
  <r>
    <x v="96"/>
    <x v="0"/>
    <x v="6"/>
    <x v="3"/>
    <x v="2"/>
    <n v="439.05"/>
  </r>
  <r>
    <x v="97"/>
    <x v="3"/>
    <x v="4"/>
    <x v="3"/>
    <x v="4"/>
    <n v="434.17"/>
  </r>
  <r>
    <x v="98"/>
    <x v="1"/>
    <x v="0"/>
    <x v="0"/>
    <x v="4"/>
    <n v="205.61"/>
  </r>
  <r>
    <x v="99"/>
    <x v="0"/>
    <x v="2"/>
    <x v="2"/>
    <x v="3"/>
    <n v="1502.87"/>
  </r>
  <r>
    <x v="1"/>
    <x v="0"/>
    <x v="6"/>
    <x v="3"/>
    <x v="3"/>
    <n v="2132.06"/>
  </r>
  <r>
    <x v="100"/>
    <x v="2"/>
    <x v="5"/>
    <x v="2"/>
    <x v="7"/>
    <n v="2815.7"/>
  </r>
  <r>
    <x v="101"/>
    <x v="0"/>
    <x v="0"/>
    <x v="0"/>
    <x v="4"/>
    <n v="733.63"/>
  </r>
  <r>
    <x v="102"/>
    <x v="1"/>
    <x v="7"/>
    <x v="0"/>
    <x v="2"/>
    <n v="335.17"/>
  </r>
  <r>
    <x v="103"/>
    <x v="0"/>
    <x v="3"/>
    <x v="1"/>
    <x v="6"/>
    <n v="2037.02"/>
  </r>
  <r>
    <x v="104"/>
    <x v="2"/>
    <x v="3"/>
    <x v="1"/>
    <x v="6"/>
    <n v="692.4"/>
  </r>
  <r>
    <x v="0"/>
    <x v="0"/>
    <x v="5"/>
    <x v="2"/>
    <x v="7"/>
    <n v="2749.29"/>
  </r>
  <r>
    <x v="105"/>
    <x v="1"/>
    <x v="1"/>
    <x v="1"/>
    <x v="3"/>
    <n v="1294.82"/>
  </r>
  <r>
    <x v="106"/>
    <x v="3"/>
    <x v="6"/>
    <x v="3"/>
    <x v="4"/>
    <n v="464.78"/>
  </r>
  <r>
    <x v="107"/>
    <x v="0"/>
    <x v="0"/>
    <x v="0"/>
    <x v="0"/>
    <n v="452.51"/>
  </r>
  <r>
    <x v="108"/>
    <x v="2"/>
    <x v="5"/>
    <x v="2"/>
    <x v="0"/>
    <n v="708.59"/>
  </r>
  <r>
    <x v="109"/>
    <x v="2"/>
    <x v="5"/>
    <x v="2"/>
    <x v="2"/>
    <n v="795.71"/>
  </r>
  <r>
    <x v="110"/>
    <x v="0"/>
    <x v="2"/>
    <x v="2"/>
    <x v="7"/>
    <n v="1060.46"/>
  </r>
  <r>
    <x v="111"/>
    <x v="3"/>
    <x v="0"/>
    <x v="0"/>
    <x v="6"/>
    <n v="470.92"/>
  </r>
  <r>
    <x v="112"/>
    <x v="3"/>
    <x v="3"/>
    <x v="1"/>
    <x v="3"/>
    <n v="473.52"/>
  </r>
  <r>
    <x v="113"/>
    <x v="1"/>
    <x v="5"/>
    <x v="2"/>
    <x v="1"/>
    <n v="916.69"/>
  </r>
  <r>
    <x v="114"/>
    <x v="3"/>
    <x v="2"/>
    <x v="2"/>
    <x v="2"/>
    <n v="1364.45"/>
  </r>
  <r>
    <x v="115"/>
    <x v="3"/>
    <x v="6"/>
    <x v="3"/>
    <x v="4"/>
    <n v="708.12"/>
  </r>
  <r>
    <x v="101"/>
    <x v="0"/>
    <x v="5"/>
    <x v="2"/>
    <x v="5"/>
    <n v="1021.34"/>
  </r>
  <r>
    <x v="116"/>
    <x v="1"/>
    <x v="4"/>
    <x v="3"/>
    <x v="5"/>
    <n v="1583.42"/>
  </r>
  <r>
    <x v="43"/>
    <x v="0"/>
    <x v="0"/>
    <x v="0"/>
    <x v="5"/>
    <n v="1234.32"/>
  </r>
  <r>
    <x v="117"/>
    <x v="0"/>
    <x v="2"/>
    <x v="2"/>
    <x v="6"/>
    <n v="3962.52"/>
  </r>
  <r>
    <x v="118"/>
    <x v="3"/>
    <x v="4"/>
    <x v="3"/>
    <x v="7"/>
    <n v="384.44"/>
  </r>
  <r>
    <x v="119"/>
    <x v="3"/>
    <x v="6"/>
    <x v="3"/>
    <x v="4"/>
    <n v="351.12"/>
  </r>
  <r>
    <x v="120"/>
    <x v="3"/>
    <x v="2"/>
    <x v="2"/>
    <x v="6"/>
    <n v="3467.02"/>
  </r>
  <r>
    <x v="121"/>
    <x v="3"/>
    <x v="1"/>
    <x v="1"/>
    <x v="6"/>
    <n v="3283.82"/>
  </r>
  <r>
    <x v="122"/>
    <x v="1"/>
    <x v="6"/>
    <x v="3"/>
    <x v="0"/>
    <n v="218.45"/>
  </r>
  <r>
    <x v="123"/>
    <x v="0"/>
    <x v="5"/>
    <x v="2"/>
    <x v="3"/>
    <n v="1097.07"/>
  </r>
  <r>
    <x v="124"/>
    <x v="0"/>
    <x v="1"/>
    <x v="1"/>
    <x v="5"/>
    <n v="824.2"/>
  </r>
  <r>
    <x v="125"/>
    <x v="0"/>
    <x v="7"/>
    <x v="0"/>
    <x v="3"/>
    <n v="2505.56"/>
  </r>
  <r>
    <x v="126"/>
    <x v="0"/>
    <x v="3"/>
    <x v="1"/>
    <x v="0"/>
    <n v="446.43"/>
  </r>
  <r>
    <x v="127"/>
    <x v="1"/>
    <x v="1"/>
    <x v="1"/>
    <x v="5"/>
    <n v="237.77"/>
  </r>
  <r>
    <x v="128"/>
    <x v="1"/>
    <x v="2"/>
    <x v="2"/>
    <x v="2"/>
    <n v="1080.82"/>
  </r>
  <r>
    <x v="129"/>
    <x v="1"/>
    <x v="3"/>
    <x v="1"/>
    <x v="1"/>
    <n v="1470.25"/>
  </r>
  <r>
    <x v="110"/>
    <x v="0"/>
    <x v="4"/>
    <x v="3"/>
    <x v="6"/>
    <n v="2751.46"/>
  </r>
  <r>
    <x v="130"/>
    <x v="3"/>
    <x v="1"/>
    <x v="1"/>
    <x v="6"/>
    <n v="3048.66"/>
  </r>
  <r>
    <x v="131"/>
    <x v="1"/>
    <x v="5"/>
    <x v="2"/>
    <x v="5"/>
    <n v="1810.03"/>
  </r>
  <r>
    <x v="132"/>
    <x v="3"/>
    <x v="7"/>
    <x v="0"/>
    <x v="1"/>
    <n v="162.04"/>
  </r>
  <r>
    <x v="133"/>
    <x v="1"/>
    <x v="6"/>
    <x v="3"/>
    <x v="2"/>
    <n v="875.22"/>
  </r>
  <r>
    <x v="134"/>
    <x v="0"/>
    <x v="1"/>
    <x v="1"/>
    <x v="7"/>
    <n v="2574.54"/>
  </r>
  <r>
    <x v="135"/>
    <x v="1"/>
    <x v="0"/>
    <x v="0"/>
    <x v="5"/>
    <n v="1153.0999999999999"/>
  </r>
  <r>
    <x v="136"/>
    <x v="2"/>
    <x v="3"/>
    <x v="1"/>
    <x v="6"/>
    <n v="2721.88"/>
  </r>
  <r>
    <x v="137"/>
    <x v="0"/>
    <x v="1"/>
    <x v="1"/>
    <x v="1"/>
    <n v="1576.04"/>
  </r>
  <r>
    <x v="138"/>
    <x v="0"/>
    <x v="4"/>
    <x v="3"/>
    <x v="3"/>
    <n v="217.7"/>
  </r>
  <r>
    <x v="98"/>
    <x v="1"/>
    <x v="4"/>
    <x v="3"/>
    <x v="7"/>
    <n v="473.15"/>
  </r>
  <r>
    <x v="110"/>
    <x v="0"/>
    <x v="3"/>
    <x v="1"/>
    <x v="2"/>
    <n v="1897.59"/>
  </r>
  <r>
    <x v="139"/>
    <x v="3"/>
    <x v="2"/>
    <x v="2"/>
    <x v="0"/>
    <n v="733.86"/>
  </r>
  <r>
    <x v="140"/>
    <x v="1"/>
    <x v="1"/>
    <x v="1"/>
    <x v="7"/>
    <n v="2170.11"/>
  </r>
  <r>
    <x v="88"/>
    <x v="2"/>
    <x v="3"/>
    <x v="1"/>
    <x v="4"/>
    <n v="771.42"/>
  </r>
  <r>
    <x v="141"/>
    <x v="1"/>
    <x v="3"/>
    <x v="1"/>
    <x v="3"/>
    <n v="1771.08"/>
  </r>
  <r>
    <x v="142"/>
    <x v="0"/>
    <x v="5"/>
    <x v="2"/>
    <x v="5"/>
    <n v="1193.5"/>
  </r>
  <r>
    <x v="143"/>
    <x v="1"/>
    <x v="7"/>
    <x v="0"/>
    <x v="5"/>
    <n v="1636.68"/>
  </r>
  <r>
    <x v="23"/>
    <x v="3"/>
    <x v="1"/>
    <x v="1"/>
    <x v="0"/>
    <n v="1582.84"/>
  </r>
  <r>
    <x v="144"/>
    <x v="2"/>
    <x v="0"/>
    <x v="0"/>
    <x v="4"/>
    <n v="615.12"/>
  </r>
  <r>
    <x v="145"/>
    <x v="1"/>
    <x v="7"/>
    <x v="0"/>
    <x v="6"/>
    <n v="3396.52"/>
  </r>
  <r>
    <x v="146"/>
    <x v="1"/>
    <x v="2"/>
    <x v="2"/>
    <x v="2"/>
    <n v="1323.58"/>
  </r>
  <r>
    <x v="147"/>
    <x v="1"/>
    <x v="6"/>
    <x v="3"/>
    <x v="7"/>
    <n v="2225.94"/>
  </r>
  <r>
    <x v="148"/>
    <x v="1"/>
    <x v="5"/>
    <x v="2"/>
    <x v="4"/>
    <n v="193.39"/>
  </r>
  <r>
    <x v="63"/>
    <x v="3"/>
    <x v="6"/>
    <x v="3"/>
    <x v="0"/>
    <n v="743.88"/>
  </r>
  <r>
    <x v="98"/>
    <x v="1"/>
    <x v="6"/>
    <x v="3"/>
    <x v="0"/>
    <n v="1832.9"/>
  </r>
  <r>
    <x v="149"/>
    <x v="1"/>
    <x v="4"/>
    <x v="3"/>
    <x v="5"/>
    <n v="1791.99"/>
  </r>
  <r>
    <x v="150"/>
    <x v="2"/>
    <x v="0"/>
    <x v="0"/>
    <x v="7"/>
    <n v="1451.51"/>
  </r>
  <r>
    <x v="151"/>
    <x v="3"/>
    <x v="5"/>
    <x v="2"/>
    <x v="2"/>
    <n v="843.65"/>
  </r>
  <r>
    <x v="152"/>
    <x v="3"/>
    <x v="4"/>
    <x v="3"/>
    <x v="4"/>
    <n v="232.75"/>
  </r>
  <r>
    <x v="153"/>
    <x v="2"/>
    <x v="6"/>
    <x v="3"/>
    <x v="7"/>
    <n v="1362.57"/>
  </r>
  <r>
    <x v="154"/>
    <x v="1"/>
    <x v="6"/>
    <x v="3"/>
    <x v="7"/>
    <n v="2707.92"/>
  </r>
  <r>
    <x v="155"/>
    <x v="3"/>
    <x v="2"/>
    <x v="2"/>
    <x v="2"/>
    <n v="152.94"/>
  </r>
  <r>
    <x v="156"/>
    <x v="1"/>
    <x v="6"/>
    <x v="3"/>
    <x v="6"/>
    <n v="2044.82"/>
  </r>
  <r>
    <x v="157"/>
    <x v="2"/>
    <x v="2"/>
    <x v="2"/>
    <x v="5"/>
    <n v="1281.19"/>
  </r>
  <r>
    <x v="158"/>
    <x v="0"/>
    <x v="1"/>
    <x v="1"/>
    <x v="6"/>
    <n v="2344.1999999999998"/>
  </r>
  <r>
    <x v="159"/>
    <x v="1"/>
    <x v="0"/>
    <x v="0"/>
    <x v="4"/>
    <n v="176.54"/>
  </r>
  <r>
    <x v="0"/>
    <x v="0"/>
    <x v="5"/>
    <x v="2"/>
    <x v="0"/>
    <n v="1560.55"/>
  </r>
  <r>
    <x v="14"/>
    <x v="3"/>
    <x v="1"/>
    <x v="1"/>
    <x v="3"/>
    <n v="2113.65"/>
  </r>
  <r>
    <x v="87"/>
    <x v="0"/>
    <x v="2"/>
    <x v="2"/>
    <x v="1"/>
    <n v="1240.3900000000001"/>
  </r>
  <r>
    <x v="160"/>
    <x v="3"/>
    <x v="3"/>
    <x v="1"/>
    <x v="5"/>
    <n v="958.82"/>
  </r>
  <r>
    <x v="155"/>
    <x v="3"/>
    <x v="3"/>
    <x v="1"/>
    <x v="7"/>
    <n v="493.02"/>
  </r>
  <r>
    <x v="161"/>
    <x v="2"/>
    <x v="5"/>
    <x v="2"/>
    <x v="0"/>
    <n v="557.84"/>
  </r>
  <r>
    <x v="162"/>
    <x v="3"/>
    <x v="2"/>
    <x v="2"/>
    <x v="4"/>
    <n v="701.28"/>
  </r>
  <r>
    <x v="163"/>
    <x v="0"/>
    <x v="7"/>
    <x v="0"/>
    <x v="3"/>
    <n v="465.61"/>
  </r>
  <r>
    <x v="164"/>
    <x v="3"/>
    <x v="7"/>
    <x v="0"/>
    <x v="6"/>
    <n v="208.26"/>
  </r>
  <r>
    <x v="165"/>
    <x v="0"/>
    <x v="7"/>
    <x v="0"/>
    <x v="6"/>
    <n v="3364.5"/>
  </r>
  <r>
    <x v="166"/>
    <x v="3"/>
    <x v="6"/>
    <x v="3"/>
    <x v="1"/>
    <n v="1878.94"/>
  </r>
  <r>
    <x v="167"/>
    <x v="2"/>
    <x v="3"/>
    <x v="1"/>
    <x v="5"/>
    <n v="1408.84"/>
  </r>
  <r>
    <x v="168"/>
    <x v="0"/>
    <x v="4"/>
    <x v="3"/>
    <x v="0"/>
    <n v="1540.44"/>
  </r>
  <r>
    <x v="169"/>
    <x v="3"/>
    <x v="2"/>
    <x v="2"/>
    <x v="1"/>
    <n v="1572.35"/>
  </r>
  <r>
    <x v="15"/>
    <x v="3"/>
    <x v="4"/>
    <x v="3"/>
    <x v="2"/>
    <n v="1786"/>
  </r>
  <r>
    <x v="51"/>
    <x v="0"/>
    <x v="4"/>
    <x v="3"/>
    <x v="0"/>
    <n v="1981.69"/>
  </r>
  <r>
    <x v="170"/>
    <x v="2"/>
    <x v="7"/>
    <x v="0"/>
    <x v="7"/>
    <n v="1384.77"/>
  </r>
  <r>
    <x v="114"/>
    <x v="3"/>
    <x v="2"/>
    <x v="2"/>
    <x v="7"/>
    <n v="1086.5899999999999"/>
  </r>
  <r>
    <x v="171"/>
    <x v="2"/>
    <x v="2"/>
    <x v="2"/>
    <x v="1"/>
    <n v="164.77"/>
  </r>
  <r>
    <x v="172"/>
    <x v="2"/>
    <x v="0"/>
    <x v="0"/>
    <x v="2"/>
    <n v="1048.9000000000001"/>
  </r>
  <r>
    <x v="173"/>
    <x v="2"/>
    <x v="5"/>
    <x v="2"/>
    <x v="6"/>
    <n v="1497.9"/>
  </r>
  <r>
    <x v="174"/>
    <x v="0"/>
    <x v="0"/>
    <x v="0"/>
    <x v="2"/>
    <n v="1845.39"/>
  </r>
  <r>
    <x v="175"/>
    <x v="3"/>
    <x v="4"/>
    <x v="3"/>
    <x v="1"/>
    <n v="612.6"/>
  </r>
  <r>
    <x v="29"/>
    <x v="1"/>
    <x v="6"/>
    <x v="3"/>
    <x v="6"/>
    <n v="2233.36"/>
  </r>
  <r>
    <x v="176"/>
    <x v="0"/>
    <x v="2"/>
    <x v="2"/>
    <x v="5"/>
    <n v="1115.73"/>
  </r>
  <r>
    <x v="177"/>
    <x v="2"/>
    <x v="3"/>
    <x v="1"/>
    <x v="7"/>
    <n v="1974.54"/>
  </r>
  <r>
    <x v="178"/>
    <x v="3"/>
    <x v="6"/>
    <x v="3"/>
    <x v="1"/>
    <n v="1314.46"/>
  </r>
  <r>
    <x v="179"/>
    <x v="2"/>
    <x v="2"/>
    <x v="2"/>
    <x v="7"/>
    <n v="2531.94"/>
  </r>
  <r>
    <x v="180"/>
    <x v="1"/>
    <x v="2"/>
    <x v="2"/>
    <x v="2"/>
    <n v="153.74"/>
  </r>
  <r>
    <x v="181"/>
    <x v="2"/>
    <x v="7"/>
    <x v="0"/>
    <x v="1"/>
    <n v="794.69"/>
  </r>
  <r>
    <x v="182"/>
    <x v="1"/>
    <x v="3"/>
    <x v="1"/>
    <x v="0"/>
    <n v="617.89"/>
  </r>
  <r>
    <x v="183"/>
    <x v="1"/>
    <x v="7"/>
    <x v="0"/>
    <x v="0"/>
    <n v="665.03"/>
  </r>
  <r>
    <x v="184"/>
    <x v="0"/>
    <x v="5"/>
    <x v="2"/>
    <x v="0"/>
    <n v="1175.3"/>
  </r>
  <r>
    <x v="185"/>
    <x v="0"/>
    <x v="0"/>
    <x v="0"/>
    <x v="0"/>
    <n v="678.51"/>
  </r>
  <r>
    <x v="186"/>
    <x v="0"/>
    <x v="3"/>
    <x v="1"/>
    <x v="6"/>
    <n v="608.86"/>
  </r>
  <r>
    <x v="7"/>
    <x v="0"/>
    <x v="5"/>
    <x v="2"/>
    <x v="0"/>
    <n v="365.52"/>
  </r>
  <r>
    <x v="187"/>
    <x v="2"/>
    <x v="2"/>
    <x v="2"/>
    <x v="4"/>
    <n v="228.16"/>
  </r>
  <r>
    <x v="188"/>
    <x v="0"/>
    <x v="4"/>
    <x v="3"/>
    <x v="7"/>
    <n v="1634.75"/>
  </r>
  <r>
    <x v="89"/>
    <x v="0"/>
    <x v="2"/>
    <x v="2"/>
    <x v="0"/>
    <n v="1685.76"/>
  </r>
  <r>
    <x v="189"/>
    <x v="0"/>
    <x v="0"/>
    <x v="0"/>
    <x v="6"/>
    <n v="3031.26"/>
  </r>
  <r>
    <x v="190"/>
    <x v="3"/>
    <x v="7"/>
    <x v="0"/>
    <x v="7"/>
    <n v="352.47"/>
  </r>
  <r>
    <x v="191"/>
    <x v="1"/>
    <x v="7"/>
    <x v="0"/>
    <x v="2"/>
    <n v="1176.51"/>
  </r>
  <r>
    <x v="192"/>
    <x v="2"/>
    <x v="7"/>
    <x v="0"/>
    <x v="4"/>
    <n v="197.1"/>
  </r>
  <r>
    <x v="193"/>
    <x v="0"/>
    <x v="3"/>
    <x v="1"/>
    <x v="3"/>
    <n v="2811.39"/>
  </r>
  <r>
    <x v="194"/>
    <x v="1"/>
    <x v="1"/>
    <x v="1"/>
    <x v="2"/>
    <n v="978.14"/>
  </r>
  <r>
    <x v="195"/>
    <x v="1"/>
    <x v="4"/>
    <x v="3"/>
    <x v="6"/>
    <n v="1564.38"/>
  </r>
  <r>
    <x v="196"/>
    <x v="0"/>
    <x v="0"/>
    <x v="0"/>
    <x v="2"/>
    <n v="831.6"/>
  </r>
  <r>
    <x v="197"/>
    <x v="2"/>
    <x v="3"/>
    <x v="1"/>
    <x v="7"/>
    <n v="485.55"/>
  </r>
  <r>
    <x v="198"/>
    <x v="1"/>
    <x v="6"/>
    <x v="3"/>
    <x v="1"/>
    <n v="1644.03"/>
  </r>
  <r>
    <x v="199"/>
    <x v="1"/>
    <x v="5"/>
    <x v="2"/>
    <x v="2"/>
    <n v="840.13"/>
  </r>
  <r>
    <x v="200"/>
    <x v="0"/>
    <x v="6"/>
    <x v="3"/>
    <x v="7"/>
    <n v="2961.24"/>
  </r>
  <r>
    <x v="89"/>
    <x v="0"/>
    <x v="2"/>
    <x v="2"/>
    <x v="6"/>
    <n v="644.12"/>
  </r>
  <r>
    <x v="201"/>
    <x v="3"/>
    <x v="5"/>
    <x v="2"/>
    <x v="4"/>
    <n v="762.24"/>
  </r>
  <r>
    <x v="202"/>
    <x v="3"/>
    <x v="2"/>
    <x v="2"/>
    <x v="1"/>
    <n v="1551.25"/>
  </r>
  <r>
    <x v="203"/>
    <x v="2"/>
    <x v="1"/>
    <x v="1"/>
    <x v="6"/>
    <n v="2736.86"/>
  </r>
  <r>
    <x v="204"/>
    <x v="2"/>
    <x v="1"/>
    <x v="1"/>
    <x v="7"/>
    <n v="1838.09"/>
  </r>
  <r>
    <x v="205"/>
    <x v="2"/>
    <x v="5"/>
    <x v="2"/>
    <x v="5"/>
    <n v="1647.31"/>
  </r>
  <r>
    <x v="206"/>
    <x v="2"/>
    <x v="0"/>
    <x v="0"/>
    <x v="5"/>
    <n v="1211.8"/>
  </r>
  <r>
    <x v="107"/>
    <x v="0"/>
    <x v="4"/>
    <x v="3"/>
    <x v="7"/>
    <n v="228.03"/>
  </r>
  <r>
    <x v="202"/>
    <x v="3"/>
    <x v="5"/>
    <x v="2"/>
    <x v="3"/>
    <n v="2221.9899999999998"/>
  </r>
  <r>
    <x v="79"/>
    <x v="3"/>
    <x v="0"/>
    <x v="0"/>
    <x v="6"/>
    <n v="1451.54"/>
  </r>
  <r>
    <x v="207"/>
    <x v="2"/>
    <x v="2"/>
    <x v="2"/>
    <x v="5"/>
    <n v="1475.45"/>
  </r>
  <r>
    <x v="208"/>
    <x v="3"/>
    <x v="3"/>
    <x v="1"/>
    <x v="1"/>
    <n v="696.55"/>
  </r>
  <r>
    <x v="209"/>
    <x v="1"/>
    <x v="0"/>
    <x v="0"/>
    <x v="7"/>
    <n v="965.15"/>
  </r>
  <r>
    <x v="210"/>
    <x v="3"/>
    <x v="2"/>
    <x v="2"/>
    <x v="3"/>
    <n v="1445.37"/>
  </r>
  <r>
    <x v="63"/>
    <x v="3"/>
    <x v="2"/>
    <x v="2"/>
    <x v="0"/>
    <n v="749.86"/>
  </r>
  <r>
    <x v="211"/>
    <x v="2"/>
    <x v="6"/>
    <x v="3"/>
    <x v="5"/>
    <n v="1718.87"/>
  </r>
  <r>
    <x v="212"/>
    <x v="0"/>
    <x v="3"/>
    <x v="1"/>
    <x v="3"/>
    <n v="2125.2399999999998"/>
  </r>
  <r>
    <x v="213"/>
    <x v="2"/>
    <x v="0"/>
    <x v="0"/>
    <x v="6"/>
    <n v="2390.14"/>
  </r>
  <r>
    <x v="214"/>
    <x v="1"/>
    <x v="0"/>
    <x v="0"/>
    <x v="4"/>
    <n v="136.81"/>
  </r>
  <r>
    <x v="106"/>
    <x v="3"/>
    <x v="6"/>
    <x v="3"/>
    <x v="0"/>
    <n v="988.97"/>
  </r>
  <r>
    <x v="215"/>
    <x v="1"/>
    <x v="0"/>
    <x v="0"/>
    <x v="6"/>
    <n v="1125.82"/>
  </r>
  <r>
    <x v="216"/>
    <x v="1"/>
    <x v="1"/>
    <x v="1"/>
    <x v="4"/>
    <n v="256.77"/>
  </r>
  <r>
    <x v="143"/>
    <x v="1"/>
    <x v="3"/>
    <x v="1"/>
    <x v="3"/>
    <n v="153.68"/>
  </r>
  <r>
    <x v="217"/>
    <x v="3"/>
    <x v="3"/>
    <x v="1"/>
    <x v="4"/>
    <n v="534.16"/>
  </r>
  <r>
    <x v="218"/>
    <x v="0"/>
    <x v="4"/>
    <x v="3"/>
    <x v="6"/>
    <n v="930.96"/>
  </r>
  <r>
    <x v="219"/>
    <x v="3"/>
    <x v="1"/>
    <x v="1"/>
    <x v="6"/>
    <n v="1193.42"/>
  </r>
  <r>
    <x v="56"/>
    <x v="0"/>
    <x v="5"/>
    <x v="2"/>
    <x v="7"/>
    <n v="1199.82"/>
  </r>
  <r>
    <x v="220"/>
    <x v="0"/>
    <x v="1"/>
    <x v="1"/>
    <x v="4"/>
    <n v="247.9"/>
  </r>
  <r>
    <x v="221"/>
    <x v="1"/>
    <x v="4"/>
    <x v="3"/>
    <x v="0"/>
    <n v="1359.57"/>
  </r>
  <r>
    <x v="222"/>
    <x v="1"/>
    <x v="4"/>
    <x v="3"/>
    <x v="2"/>
    <n v="1631.28"/>
  </r>
  <r>
    <x v="223"/>
    <x v="2"/>
    <x v="5"/>
    <x v="2"/>
    <x v="7"/>
    <n v="1194.1400000000001"/>
  </r>
  <r>
    <x v="224"/>
    <x v="0"/>
    <x v="2"/>
    <x v="2"/>
    <x v="3"/>
    <n v="1373.14"/>
  </r>
  <r>
    <x v="225"/>
    <x v="2"/>
    <x v="2"/>
    <x v="2"/>
    <x v="4"/>
    <n v="660.09"/>
  </r>
  <r>
    <x v="226"/>
    <x v="3"/>
    <x v="0"/>
    <x v="0"/>
    <x v="5"/>
    <n v="320.31"/>
  </r>
  <r>
    <x v="227"/>
    <x v="1"/>
    <x v="6"/>
    <x v="3"/>
    <x v="3"/>
    <n v="823.67"/>
  </r>
  <r>
    <x v="228"/>
    <x v="3"/>
    <x v="0"/>
    <x v="0"/>
    <x v="0"/>
    <n v="174.67"/>
  </r>
  <r>
    <x v="229"/>
    <x v="0"/>
    <x v="4"/>
    <x v="3"/>
    <x v="3"/>
    <n v="1326.42"/>
  </r>
  <r>
    <x v="220"/>
    <x v="0"/>
    <x v="7"/>
    <x v="0"/>
    <x v="7"/>
    <n v="2713.56"/>
  </r>
  <r>
    <x v="230"/>
    <x v="2"/>
    <x v="3"/>
    <x v="1"/>
    <x v="5"/>
    <n v="1278.56"/>
  </r>
  <r>
    <x v="231"/>
    <x v="0"/>
    <x v="5"/>
    <x v="2"/>
    <x v="3"/>
    <n v="692.23"/>
  </r>
  <r>
    <x v="135"/>
    <x v="1"/>
    <x v="0"/>
    <x v="0"/>
    <x v="1"/>
    <n v="1010.08"/>
  </r>
  <r>
    <x v="176"/>
    <x v="0"/>
    <x v="6"/>
    <x v="3"/>
    <x v="0"/>
    <n v="171.35"/>
  </r>
  <r>
    <x v="78"/>
    <x v="2"/>
    <x v="5"/>
    <x v="2"/>
    <x v="1"/>
    <n v="1613.39"/>
  </r>
  <r>
    <x v="232"/>
    <x v="0"/>
    <x v="4"/>
    <x v="3"/>
    <x v="4"/>
    <n v="139.28"/>
  </r>
  <r>
    <x v="233"/>
    <x v="3"/>
    <x v="1"/>
    <x v="1"/>
    <x v="6"/>
    <n v="1579.3"/>
  </r>
  <r>
    <x v="234"/>
    <x v="2"/>
    <x v="2"/>
    <x v="2"/>
    <x v="0"/>
    <n v="1154.1600000000001"/>
  </r>
  <r>
    <x v="235"/>
    <x v="0"/>
    <x v="2"/>
    <x v="2"/>
    <x v="7"/>
    <n v="1570.37"/>
  </r>
  <r>
    <x v="229"/>
    <x v="0"/>
    <x v="2"/>
    <x v="2"/>
    <x v="6"/>
    <n v="3791.92"/>
  </r>
  <r>
    <x v="236"/>
    <x v="1"/>
    <x v="7"/>
    <x v="0"/>
    <x v="7"/>
    <n v="1727"/>
  </r>
  <r>
    <x v="237"/>
    <x v="2"/>
    <x v="0"/>
    <x v="0"/>
    <x v="1"/>
    <n v="1341.74"/>
  </r>
  <r>
    <x v="238"/>
    <x v="1"/>
    <x v="0"/>
    <x v="0"/>
    <x v="7"/>
    <n v="632.52"/>
  </r>
  <r>
    <x v="239"/>
    <x v="2"/>
    <x v="2"/>
    <x v="2"/>
    <x v="7"/>
    <n v="2148.36"/>
  </r>
  <r>
    <x v="240"/>
    <x v="3"/>
    <x v="2"/>
    <x v="2"/>
    <x v="4"/>
    <n v="92.36"/>
  </r>
  <r>
    <x v="241"/>
    <x v="2"/>
    <x v="6"/>
    <x v="3"/>
    <x v="1"/>
    <n v="1768.59"/>
  </r>
  <r>
    <x v="242"/>
    <x v="3"/>
    <x v="1"/>
    <x v="1"/>
    <x v="1"/>
    <n v="953.25"/>
  </r>
  <r>
    <x v="243"/>
    <x v="0"/>
    <x v="7"/>
    <x v="0"/>
    <x v="0"/>
    <n v="330.29"/>
  </r>
  <r>
    <x v="244"/>
    <x v="3"/>
    <x v="3"/>
    <x v="1"/>
    <x v="0"/>
    <n v="1303.93"/>
  </r>
  <r>
    <x v="245"/>
    <x v="3"/>
    <x v="7"/>
    <x v="0"/>
    <x v="2"/>
    <n v="1995.38"/>
  </r>
  <r>
    <x v="246"/>
    <x v="0"/>
    <x v="1"/>
    <x v="1"/>
    <x v="1"/>
    <n v="831.83"/>
  </r>
  <r>
    <x v="103"/>
    <x v="0"/>
    <x v="1"/>
    <x v="1"/>
    <x v="6"/>
    <n v="1135.7"/>
  </r>
  <r>
    <x v="247"/>
    <x v="1"/>
    <x v="0"/>
    <x v="0"/>
    <x v="4"/>
    <n v="456.36"/>
  </r>
  <r>
    <x v="203"/>
    <x v="2"/>
    <x v="1"/>
    <x v="1"/>
    <x v="7"/>
    <n v="2242.37"/>
  </r>
  <r>
    <x v="248"/>
    <x v="1"/>
    <x v="2"/>
    <x v="2"/>
    <x v="6"/>
    <n v="3881.88"/>
  </r>
  <r>
    <x v="249"/>
    <x v="1"/>
    <x v="0"/>
    <x v="0"/>
    <x v="2"/>
    <n v="217.5"/>
  </r>
  <r>
    <x v="250"/>
    <x v="0"/>
    <x v="7"/>
    <x v="0"/>
    <x v="7"/>
    <n v="1553.6"/>
  </r>
  <r>
    <x v="251"/>
    <x v="0"/>
    <x v="4"/>
    <x v="3"/>
    <x v="6"/>
    <n v="2048.06"/>
  </r>
  <r>
    <x v="252"/>
    <x v="1"/>
    <x v="0"/>
    <x v="0"/>
    <x v="7"/>
    <n v="1623.8"/>
  </r>
  <r>
    <x v="253"/>
    <x v="3"/>
    <x v="5"/>
    <x v="2"/>
    <x v="6"/>
    <n v="3161.46"/>
  </r>
  <r>
    <x v="254"/>
    <x v="1"/>
    <x v="5"/>
    <x v="2"/>
    <x v="1"/>
    <n v="1692.95"/>
  </r>
  <r>
    <x v="247"/>
    <x v="1"/>
    <x v="0"/>
    <x v="0"/>
    <x v="5"/>
    <n v="101.85"/>
  </r>
  <r>
    <x v="255"/>
    <x v="0"/>
    <x v="7"/>
    <x v="0"/>
    <x v="6"/>
    <n v="361.9"/>
  </r>
  <r>
    <x v="256"/>
    <x v="1"/>
    <x v="6"/>
    <x v="3"/>
    <x v="0"/>
    <n v="1371.89"/>
  </r>
  <r>
    <x v="257"/>
    <x v="3"/>
    <x v="4"/>
    <x v="3"/>
    <x v="7"/>
    <n v="302.83999999999997"/>
  </r>
  <r>
    <x v="212"/>
    <x v="0"/>
    <x v="7"/>
    <x v="0"/>
    <x v="1"/>
    <n v="1322.41"/>
  </r>
  <r>
    <x v="258"/>
    <x v="2"/>
    <x v="5"/>
    <x v="2"/>
    <x v="6"/>
    <n v="513.86"/>
  </r>
  <r>
    <x v="259"/>
    <x v="0"/>
    <x v="6"/>
    <x v="3"/>
    <x v="3"/>
    <n v="770.27"/>
  </r>
  <r>
    <x v="184"/>
    <x v="0"/>
    <x v="2"/>
    <x v="2"/>
    <x v="0"/>
    <n v="222.12"/>
  </r>
  <r>
    <x v="79"/>
    <x v="3"/>
    <x v="3"/>
    <x v="1"/>
    <x v="0"/>
    <n v="457.64"/>
  </r>
  <r>
    <x v="174"/>
    <x v="0"/>
    <x v="1"/>
    <x v="1"/>
    <x v="6"/>
    <n v="1804.28"/>
  </r>
  <r>
    <x v="260"/>
    <x v="2"/>
    <x v="5"/>
    <x v="2"/>
    <x v="0"/>
    <n v="760.86"/>
  </r>
  <r>
    <x v="261"/>
    <x v="3"/>
    <x v="1"/>
    <x v="1"/>
    <x v="4"/>
    <n v="159.04"/>
  </r>
  <r>
    <x v="262"/>
    <x v="0"/>
    <x v="4"/>
    <x v="3"/>
    <x v="1"/>
    <n v="1845.16"/>
  </r>
  <r>
    <x v="263"/>
    <x v="2"/>
    <x v="5"/>
    <x v="2"/>
    <x v="0"/>
    <n v="573.25"/>
  </r>
  <r>
    <x v="264"/>
    <x v="2"/>
    <x v="7"/>
    <x v="0"/>
    <x v="2"/>
    <n v="423.24"/>
  </r>
  <r>
    <x v="265"/>
    <x v="1"/>
    <x v="4"/>
    <x v="3"/>
    <x v="2"/>
    <n v="897.61"/>
  </r>
  <r>
    <x v="266"/>
    <x v="3"/>
    <x v="3"/>
    <x v="1"/>
    <x v="5"/>
    <n v="1234.96"/>
  </r>
  <r>
    <x v="267"/>
    <x v="2"/>
    <x v="7"/>
    <x v="0"/>
    <x v="1"/>
    <n v="213.64"/>
  </r>
  <r>
    <x v="268"/>
    <x v="2"/>
    <x v="0"/>
    <x v="0"/>
    <x v="3"/>
    <n v="664.56"/>
  </r>
  <r>
    <x v="91"/>
    <x v="3"/>
    <x v="7"/>
    <x v="0"/>
    <x v="5"/>
    <n v="1682.92"/>
  </r>
  <r>
    <x v="269"/>
    <x v="0"/>
    <x v="0"/>
    <x v="0"/>
    <x v="3"/>
    <n v="535.4"/>
  </r>
  <r>
    <x v="49"/>
    <x v="2"/>
    <x v="1"/>
    <x v="1"/>
    <x v="5"/>
    <n v="318.37"/>
  </r>
  <r>
    <x v="270"/>
    <x v="2"/>
    <x v="2"/>
    <x v="2"/>
    <x v="7"/>
    <n v="1639.19"/>
  </r>
  <r>
    <x v="271"/>
    <x v="1"/>
    <x v="5"/>
    <x v="2"/>
    <x v="3"/>
    <n v="2911.58"/>
  </r>
  <r>
    <x v="8"/>
    <x v="3"/>
    <x v="3"/>
    <x v="1"/>
    <x v="1"/>
    <n v="1249.6600000000001"/>
  </r>
  <r>
    <x v="272"/>
    <x v="3"/>
    <x v="2"/>
    <x v="2"/>
    <x v="6"/>
    <n v="3277.14"/>
  </r>
  <r>
    <x v="55"/>
    <x v="0"/>
    <x v="5"/>
    <x v="2"/>
    <x v="5"/>
    <n v="1176.2"/>
  </r>
  <r>
    <x v="192"/>
    <x v="2"/>
    <x v="3"/>
    <x v="1"/>
    <x v="0"/>
    <n v="1839.51"/>
  </r>
  <r>
    <x v="273"/>
    <x v="1"/>
    <x v="2"/>
    <x v="2"/>
    <x v="4"/>
    <n v="557.04"/>
  </r>
  <r>
    <x v="274"/>
    <x v="1"/>
    <x v="1"/>
    <x v="1"/>
    <x v="2"/>
    <n v="1444.71"/>
  </r>
  <r>
    <x v="275"/>
    <x v="2"/>
    <x v="2"/>
    <x v="2"/>
    <x v="4"/>
    <n v="231.78"/>
  </r>
  <r>
    <x v="276"/>
    <x v="0"/>
    <x v="2"/>
    <x v="2"/>
    <x v="7"/>
    <n v="621.99"/>
  </r>
  <r>
    <x v="277"/>
    <x v="1"/>
    <x v="5"/>
    <x v="2"/>
    <x v="7"/>
    <n v="1618.37"/>
  </r>
  <r>
    <x v="278"/>
    <x v="3"/>
    <x v="4"/>
    <x v="3"/>
    <x v="2"/>
    <n v="1676.33"/>
  </r>
  <r>
    <x v="82"/>
    <x v="2"/>
    <x v="4"/>
    <x v="3"/>
    <x v="0"/>
    <n v="374.51"/>
  </r>
  <r>
    <x v="279"/>
    <x v="0"/>
    <x v="6"/>
    <x v="3"/>
    <x v="7"/>
    <n v="519.15"/>
  </r>
  <r>
    <x v="280"/>
    <x v="1"/>
    <x v="4"/>
    <x v="3"/>
    <x v="6"/>
    <n v="2909.54"/>
  </r>
  <r>
    <x v="281"/>
    <x v="1"/>
    <x v="2"/>
    <x v="2"/>
    <x v="6"/>
    <n v="2566.54"/>
  </r>
  <r>
    <x v="63"/>
    <x v="3"/>
    <x v="0"/>
    <x v="0"/>
    <x v="6"/>
    <n v="1595.28"/>
  </r>
  <r>
    <x v="134"/>
    <x v="0"/>
    <x v="7"/>
    <x v="0"/>
    <x v="7"/>
    <n v="349.26"/>
  </r>
  <r>
    <x v="282"/>
    <x v="3"/>
    <x v="3"/>
    <x v="1"/>
    <x v="1"/>
    <n v="247.06"/>
  </r>
  <r>
    <x v="283"/>
    <x v="1"/>
    <x v="4"/>
    <x v="3"/>
    <x v="3"/>
    <n v="1164.03"/>
  </r>
  <r>
    <x v="284"/>
    <x v="0"/>
    <x v="7"/>
    <x v="0"/>
    <x v="0"/>
    <n v="688.79"/>
  </r>
  <r>
    <x v="285"/>
    <x v="1"/>
    <x v="2"/>
    <x v="2"/>
    <x v="1"/>
    <n v="230.87"/>
  </r>
  <r>
    <x v="286"/>
    <x v="2"/>
    <x v="3"/>
    <x v="1"/>
    <x v="7"/>
    <n v="2895.36"/>
  </r>
  <r>
    <x v="287"/>
    <x v="3"/>
    <x v="1"/>
    <x v="1"/>
    <x v="2"/>
    <n v="298.02999999999997"/>
  </r>
  <r>
    <x v="288"/>
    <x v="3"/>
    <x v="0"/>
    <x v="0"/>
    <x v="3"/>
    <n v="1536.63"/>
  </r>
  <r>
    <x v="206"/>
    <x v="2"/>
    <x v="5"/>
    <x v="2"/>
    <x v="0"/>
    <n v="1353.92"/>
  </r>
  <r>
    <x v="289"/>
    <x v="1"/>
    <x v="7"/>
    <x v="0"/>
    <x v="7"/>
    <n v="1759.11"/>
  </r>
  <r>
    <x v="290"/>
    <x v="2"/>
    <x v="4"/>
    <x v="3"/>
    <x v="5"/>
    <n v="624.54999999999995"/>
  </r>
  <r>
    <x v="291"/>
    <x v="0"/>
    <x v="0"/>
    <x v="0"/>
    <x v="3"/>
    <n v="640.22"/>
  </r>
  <r>
    <x v="84"/>
    <x v="1"/>
    <x v="5"/>
    <x v="2"/>
    <x v="0"/>
    <n v="583.41"/>
  </r>
  <r>
    <x v="292"/>
    <x v="0"/>
    <x v="1"/>
    <x v="1"/>
    <x v="4"/>
    <n v="330.12"/>
  </r>
  <r>
    <x v="293"/>
    <x v="0"/>
    <x v="0"/>
    <x v="0"/>
    <x v="2"/>
    <n v="815.84"/>
  </r>
  <r>
    <x v="294"/>
    <x v="2"/>
    <x v="0"/>
    <x v="0"/>
    <x v="4"/>
    <n v="146.80000000000001"/>
  </r>
  <r>
    <x v="192"/>
    <x v="2"/>
    <x v="4"/>
    <x v="3"/>
    <x v="3"/>
    <n v="2348.2399999999998"/>
  </r>
  <r>
    <x v="295"/>
    <x v="0"/>
    <x v="5"/>
    <x v="2"/>
    <x v="7"/>
    <n v="677.93"/>
  </r>
  <r>
    <x v="164"/>
    <x v="3"/>
    <x v="7"/>
    <x v="0"/>
    <x v="3"/>
    <n v="453.03"/>
  </r>
  <r>
    <x v="296"/>
    <x v="2"/>
    <x v="0"/>
    <x v="0"/>
    <x v="0"/>
    <n v="430.53"/>
  </r>
  <r>
    <x v="256"/>
    <x v="1"/>
    <x v="6"/>
    <x v="3"/>
    <x v="5"/>
    <n v="858.44"/>
  </r>
  <r>
    <x v="51"/>
    <x v="0"/>
    <x v="6"/>
    <x v="3"/>
    <x v="6"/>
    <n v="3721.68"/>
  </r>
  <r>
    <x v="297"/>
    <x v="2"/>
    <x v="4"/>
    <x v="3"/>
    <x v="7"/>
    <n v="1272.26"/>
  </r>
  <r>
    <x v="298"/>
    <x v="3"/>
    <x v="3"/>
    <x v="1"/>
    <x v="3"/>
    <n v="1228.44"/>
  </r>
  <r>
    <x v="299"/>
    <x v="3"/>
    <x v="6"/>
    <x v="3"/>
    <x v="6"/>
    <n v="2190.2199999999998"/>
  </r>
  <r>
    <x v="300"/>
    <x v="0"/>
    <x v="1"/>
    <x v="1"/>
    <x v="5"/>
    <n v="118.63"/>
  </r>
  <r>
    <x v="264"/>
    <x v="2"/>
    <x v="6"/>
    <x v="3"/>
    <x v="6"/>
    <n v="3445.62"/>
  </r>
  <r>
    <x v="284"/>
    <x v="0"/>
    <x v="6"/>
    <x v="3"/>
    <x v="2"/>
    <n v="1714.73"/>
  </r>
  <r>
    <x v="301"/>
    <x v="0"/>
    <x v="0"/>
    <x v="0"/>
    <x v="2"/>
    <n v="1415.38"/>
  </r>
  <r>
    <x v="51"/>
    <x v="0"/>
    <x v="0"/>
    <x v="0"/>
    <x v="7"/>
    <n v="2608.5300000000002"/>
  </r>
  <r>
    <x v="237"/>
    <x v="2"/>
    <x v="3"/>
    <x v="1"/>
    <x v="2"/>
    <n v="1538.43"/>
  </r>
  <r>
    <x v="302"/>
    <x v="1"/>
    <x v="6"/>
    <x v="3"/>
    <x v="1"/>
    <n v="418.85"/>
  </r>
  <r>
    <x v="303"/>
    <x v="2"/>
    <x v="4"/>
    <x v="3"/>
    <x v="2"/>
    <n v="1953.66"/>
  </r>
  <r>
    <x v="165"/>
    <x v="0"/>
    <x v="2"/>
    <x v="2"/>
    <x v="6"/>
    <n v="2888.58"/>
  </r>
  <r>
    <x v="304"/>
    <x v="3"/>
    <x v="1"/>
    <x v="1"/>
    <x v="6"/>
    <n v="3794.16"/>
  </r>
  <r>
    <x v="77"/>
    <x v="3"/>
    <x v="1"/>
    <x v="1"/>
    <x v="5"/>
    <n v="321.5"/>
  </r>
  <r>
    <x v="270"/>
    <x v="2"/>
    <x v="2"/>
    <x v="2"/>
    <x v="4"/>
    <n v="797.57"/>
  </r>
  <r>
    <x v="305"/>
    <x v="2"/>
    <x v="3"/>
    <x v="1"/>
    <x v="0"/>
    <n v="451.83"/>
  </r>
  <r>
    <x v="295"/>
    <x v="0"/>
    <x v="4"/>
    <x v="3"/>
    <x v="2"/>
    <n v="1480.31"/>
  </r>
  <r>
    <x v="280"/>
    <x v="1"/>
    <x v="3"/>
    <x v="1"/>
    <x v="4"/>
    <n v="362.72"/>
  </r>
  <r>
    <x v="306"/>
    <x v="1"/>
    <x v="6"/>
    <x v="3"/>
    <x v="0"/>
    <n v="1943.54"/>
  </r>
  <r>
    <x v="307"/>
    <x v="2"/>
    <x v="5"/>
    <x v="2"/>
    <x v="7"/>
    <n v="741.95"/>
  </r>
  <r>
    <x v="308"/>
    <x v="2"/>
    <x v="0"/>
    <x v="0"/>
    <x v="0"/>
    <n v="1049.24"/>
  </r>
  <r>
    <x v="309"/>
    <x v="1"/>
    <x v="4"/>
    <x v="3"/>
    <x v="4"/>
    <n v="302.27999999999997"/>
  </r>
  <r>
    <x v="130"/>
    <x v="3"/>
    <x v="2"/>
    <x v="2"/>
    <x v="6"/>
    <n v="2867.7"/>
  </r>
  <r>
    <x v="310"/>
    <x v="3"/>
    <x v="6"/>
    <x v="3"/>
    <x v="3"/>
    <n v="2294.71"/>
  </r>
  <r>
    <x v="276"/>
    <x v="0"/>
    <x v="4"/>
    <x v="3"/>
    <x v="5"/>
    <n v="1060.6500000000001"/>
  </r>
  <r>
    <x v="311"/>
    <x v="3"/>
    <x v="7"/>
    <x v="0"/>
    <x v="4"/>
    <n v="334.68"/>
  </r>
  <r>
    <x v="307"/>
    <x v="2"/>
    <x v="0"/>
    <x v="0"/>
    <x v="6"/>
    <n v="3838.4"/>
  </r>
  <r>
    <x v="288"/>
    <x v="3"/>
    <x v="6"/>
    <x v="3"/>
    <x v="7"/>
    <n v="2230.3200000000002"/>
  </r>
  <r>
    <x v="23"/>
    <x v="3"/>
    <x v="4"/>
    <x v="3"/>
    <x v="4"/>
    <n v="364.24"/>
  </r>
  <r>
    <x v="176"/>
    <x v="0"/>
    <x v="5"/>
    <x v="2"/>
    <x v="2"/>
    <n v="1077.5899999999999"/>
  </r>
  <r>
    <x v="312"/>
    <x v="2"/>
    <x v="6"/>
    <x v="3"/>
    <x v="2"/>
    <n v="1685.5"/>
  </r>
  <r>
    <x v="313"/>
    <x v="1"/>
    <x v="7"/>
    <x v="0"/>
    <x v="3"/>
    <n v="2344.42"/>
  </r>
  <r>
    <x v="218"/>
    <x v="0"/>
    <x v="6"/>
    <x v="3"/>
    <x v="4"/>
    <n v="426.75"/>
  </r>
  <r>
    <x v="77"/>
    <x v="3"/>
    <x v="1"/>
    <x v="1"/>
    <x v="4"/>
    <n v="795.06"/>
  </r>
  <r>
    <x v="314"/>
    <x v="1"/>
    <x v="2"/>
    <x v="2"/>
    <x v="5"/>
    <n v="1868"/>
  </r>
  <r>
    <x v="315"/>
    <x v="3"/>
    <x v="7"/>
    <x v="0"/>
    <x v="4"/>
    <n v="714.59"/>
  </r>
  <r>
    <x v="82"/>
    <x v="2"/>
    <x v="5"/>
    <x v="2"/>
    <x v="0"/>
    <n v="489"/>
  </r>
  <r>
    <x v="316"/>
    <x v="2"/>
    <x v="2"/>
    <x v="2"/>
    <x v="1"/>
    <n v="324.25"/>
  </r>
  <r>
    <x v="317"/>
    <x v="1"/>
    <x v="0"/>
    <x v="0"/>
    <x v="5"/>
    <n v="1812.63"/>
  </r>
  <r>
    <x v="318"/>
    <x v="3"/>
    <x v="1"/>
    <x v="1"/>
    <x v="5"/>
    <n v="1969.21"/>
  </r>
  <r>
    <x v="280"/>
    <x v="1"/>
    <x v="7"/>
    <x v="0"/>
    <x v="2"/>
    <n v="1695.95"/>
  </r>
  <r>
    <x v="311"/>
    <x v="3"/>
    <x v="4"/>
    <x v="3"/>
    <x v="1"/>
    <n v="601.13"/>
  </r>
  <r>
    <x v="16"/>
    <x v="0"/>
    <x v="2"/>
    <x v="2"/>
    <x v="4"/>
    <n v="171.26"/>
  </r>
  <r>
    <x v="9"/>
    <x v="0"/>
    <x v="3"/>
    <x v="1"/>
    <x v="5"/>
    <n v="368.54"/>
  </r>
  <r>
    <x v="319"/>
    <x v="1"/>
    <x v="7"/>
    <x v="0"/>
    <x v="3"/>
    <n v="2861.97"/>
  </r>
  <r>
    <x v="320"/>
    <x v="2"/>
    <x v="1"/>
    <x v="1"/>
    <x v="4"/>
    <n v="254"/>
  </r>
  <r>
    <x v="321"/>
    <x v="0"/>
    <x v="3"/>
    <x v="1"/>
    <x v="6"/>
    <n v="3445.24"/>
  </r>
  <r>
    <x v="302"/>
    <x v="1"/>
    <x v="2"/>
    <x v="2"/>
    <x v="0"/>
    <n v="179.38"/>
  </r>
  <r>
    <x v="300"/>
    <x v="0"/>
    <x v="2"/>
    <x v="2"/>
    <x v="7"/>
    <n v="982.38"/>
  </r>
  <r>
    <x v="63"/>
    <x v="3"/>
    <x v="5"/>
    <x v="2"/>
    <x v="7"/>
    <n v="764.43"/>
  </r>
  <r>
    <x v="322"/>
    <x v="0"/>
    <x v="1"/>
    <x v="1"/>
    <x v="1"/>
    <n v="317.95"/>
  </r>
  <r>
    <x v="323"/>
    <x v="2"/>
    <x v="7"/>
    <x v="0"/>
    <x v="2"/>
    <n v="1650.81"/>
  </r>
  <r>
    <x v="200"/>
    <x v="0"/>
    <x v="6"/>
    <x v="3"/>
    <x v="6"/>
    <n v="2141.8200000000002"/>
  </r>
  <r>
    <x v="89"/>
    <x v="0"/>
    <x v="7"/>
    <x v="0"/>
    <x v="7"/>
    <n v="1501.34"/>
  </r>
  <r>
    <x v="324"/>
    <x v="2"/>
    <x v="6"/>
    <x v="3"/>
    <x v="5"/>
    <n v="627.72"/>
  </r>
  <r>
    <x v="45"/>
    <x v="3"/>
    <x v="5"/>
    <x v="2"/>
    <x v="6"/>
    <n v="3159.24"/>
  </r>
  <r>
    <x v="235"/>
    <x v="0"/>
    <x v="7"/>
    <x v="0"/>
    <x v="3"/>
    <n v="1261.55"/>
  </r>
  <r>
    <x v="17"/>
    <x v="1"/>
    <x v="4"/>
    <x v="3"/>
    <x v="3"/>
    <n v="581.63"/>
  </r>
  <r>
    <x v="325"/>
    <x v="3"/>
    <x v="7"/>
    <x v="0"/>
    <x v="2"/>
    <n v="1888.58"/>
  </r>
  <r>
    <x v="326"/>
    <x v="0"/>
    <x v="2"/>
    <x v="2"/>
    <x v="1"/>
    <n v="1429"/>
  </r>
  <r>
    <x v="327"/>
    <x v="2"/>
    <x v="2"/>
    <x v="2"/>
    <x v="0"/>
    <n v="1649.68"/>
  </r>
  <r>
    <x v="11"/>
    <x v="1"/>
    <x v="1"/>
    <x v="1"/>
    <x v="4"/>
    <n v="676.16"/>
  </r>
  <r>
    <x v="11"/>
    <x v="1"/>
    <x v="6"/>
    <x v="3"/>
    <x v="7"/>
    <n v="1956"/>
  </r>
  <r>
    <x v="74"/>
    <x v="3"/>
    <x v="7"/>
    <x v="0"/>
    <x v="5"/>
    <n v="1735.35"/>
  </r>
  <r>
    <x v="328"/>
    <x v="1"/>
    <x v="2"/>
    <x v="2"/>
    <x v="2"/>
    <n v="1576.26"/>
  </r>
  <r>
    <x v="329"/>
    <x v="3"/>
    <x v="7"/>
    <x v="0"/>
    <x v="3"/>
    <n v="483.36"/>
  </r>
  <r>
    <x v="330"/>
    <x v="1"/>
    <x v="5"/>
    <x v="2"/>
    <x v="0"/>
    <n v="1480.36"/>
  </r>
  <r>
    <x v="331"/>
    <x v="2"/>
    <x v="4"/>
    <x v="3"/>
    <x v="6"/>
    <n v="1248.0999999999999"/>
  </r>
  <r>
    <x v="232"/>
    <x v="0"/>
    <x v="4"/>
    <x v="3"/>
    <x v="4"/>
    <n v="560.54999999999995"/>
  </r>
  <r>
    <x v="43"/>
    <x v="0"/>
    <x v="2"/>
    <x v="2"/>
    <x v="2"/>
    <n v="327.04000000000002"/>
  </r>
  <r>
    <x v="316"/>
    <x v="2"/>
    <x v="7"/>
    <x v="0"/>
    <x v="0"/>
    <n v="935.28"/>
  </r>
  <r>
    <x v="332"/>
    <x v="1"/>
    <x v="3"/>
    <x v="1"/>
    <x v="3"/>
    <n v="2125.16"/>
  </r>
  <r>
    <x v="333"/>
    <x v="1"/>
    <x v="2"/>
    <x v="2"/>
    <x v="1"/>
    <n v="612.45000000000005"/>
  </r>
  <r>
    <x v="211"/>
    <x v="2"/>
    <x v="5"/>
    <x v="2"/>
    <x v="3"/>
    <n v="2867.1"/>
  </r>
  <r>
    <x v="113"/>
    <x v="1"/>
    <x v="7"/>
    <x v="0"/>
    <x v="0"/>
    <n v="525.73"/>
  </r>
  <r>
    <x v="172"/>
    <x v="2"/>
    <x v="7"/>
    <x v="0"/>
    <x v="1"/>
    <n v="443.65"/>
  </r>
  <r>
    <x v="8"/>
    <x v="3"/>
    <x v="2"/>
    <x v="2"/>
    <x v="5"/>
    <n v="278.68"/>
  </r>
  <r>
    <x v="117"/>
    <x v="0"/>
    <x v="2"/>
    <x v="2"/>
    <x v="2"/>
    <n v="840.25"/>
  </r>
  <r>
    <x v="321"/>
    <x v="0"/>
    <x v="0"/>
    <x v="0"/>
    <x v="6"/>
    <n v="2093.46"/>
  </r>
  <r>
    <x v="77"/>
    <x v="3"/>
    <x v="2"/>
    <x v="2"/>
    <x v="2"/>
    <n v="1700.78"/>
  </r>
  <r>
    <x v="334"/>
    <x v="1"/>
    <x v="5"/>
    <x v="2"/>
    <x v="6"/>
    <n v="3608.32"/>
  </r>
  <r>
    <x v="335"/>
    <x v="3"/>
    <x v="3"/>
    <x v="1"/>
    <x v="0"/>
    <n v="1363.77"/>
  </r>
  <r>
    <x v="336"/>
    <x v="2"/>
    <x v="2"/>
    <x v="2"/>
    <x v="2"/>
    <n v="1593.79"/>
  </r>
  <r>
    <x v="337"/>
    <x v="2"/>
    <x v="6"/>
    <x v="3"/>
    <x v="3"/>
    <n v="2436.7800000000002"/>
  </r>
  <r>
    <x v="338"/>
    <x v="0"/>
    <x v="7"/>
    <x v="0"/>
    <x v="0"/>
    <n v="185.21"/>
  </r>
  <r>
    <x v="102"/>
    <x v="1"/>
    <x v="2"/>
    <x v="2"/>
    <x v="6"/>
    <n v="3772.56"/>
  </r>
  <r>
    <x v="339"/>
    <x v="0"/>
    <x v="7"/>
    <x v="0"/>
    <x v="2"/>
    <n v="1684.83"/>
  </r>
  <r>
    <x v="252"/>
    <x v="1"/>
    <x v="3"/>
    <x v="1"/>
    <x v="6"/>
    <n v="2167.84"/>
  </r>
  <r>
    <x v="328"/>
    <x v="1"/>
    <x v="5"/>
    <x v="2"/>
    <x v="6"/>
    <n v="3715.16"/>
  </r>
  <r>
    <x v="340"/>
    <x v="1"/>
    <x v="4"/>
    <x v="3"/>
    <x v="2"/>
    <n v="477.1"/>
  </r>
  <r>
    <x v="341"/>
    <x v="0"/>
    <x v="6"/>
    <x v="3"/>
    <x v="1"/>
    <n v="1234.9000000000001"/>
  </r>
  <r>
    <x v="342"/>
    <x v="3"/>
    <x v="3"/>
    <x v="1"/>
    <x v="0"/>
    <n v="1211.4000000000001"/>
  </r>
  <r>
    <x v="75"/>
    <x v="2"/>
    <x v="5"/>
    <x v="2"/>
    <x v="5"/>
    <n v="1469.26"/>
  </r>
  <r>
    <x v="343"/>
    <x v="3"/>
    <x v="0"/>
    <x v="0"/>
    <x v="6"/>
    <n v="901.4"/>
  </r>
  <r>
    <x v="246"/>
    <x v="0"/>
    <x v="0"/>
    <x v="0"/>
    <x v="4"/>
    <n v="365"/>
  </r>
  <r>
    <x v="48"/>
    <x v="1"/>
    <x v="7"/>
    <x v="0"/>
    <x v="5"/>
    <n v="1466.8"/>
  </r>
  <r>
    <x v="224"/>
    <x v="0"/>
    <x v="0"/>
    <x v="0"/>
    <x v="5"/>
    <n v="810.98"/>
  </r>
  <r>
    <x v="42"/>
    <x v="2"/>
    <x v="7"/>
    <x v="0"/>
    <x v="7"/>
    <n v="636.54"/>
  </r>
  <r>
    <x v="185"/>
    <x v="0"/>
    <x v="0"/>
    <x v="0"/>
    <x v="5"/>
    <n v="815.04"/>
  </r>
  <r>
    <x v="344"/>
    <x v="2"/>
    <x v="7"/>
    <x v="0"/>
    <x v="4"/>
    <n v="245.21"/>
  </r>
  <r>
    <x v="345"/>
    <x v="1"/>
    <x v="1"/>
    <x v="1"/>
    <x v="0"/>
    <n v="1386.43"/>
  </r>
  <r>
    <x v="346"/>
    <x v="0"/>
    <x v="2"/>
    <x v="2"/>
    <x v="5"/>
    <n v="656.53"/>
  </r>
  <r>
    <x v="319"/>
    <x v="1"/>
    <x v="2"/>
    <x v="2"/>
    <x v="3"/>
    <n v="2257.3000000000002"/>
  </r>
  <r>
    <x v="347"/>
    <x v="1"/>
    <x v="6"/>
    <x v="3"/>
    <x v="0"/>
    <n v="584.26"/>
  </r>
  <r>
    <x v="72"/>
    <x v="0"/>
    <x v="4"/>
    <x v="3"/>
    <x v="7"/>
    <n v="2893.97"/>
  </r>
  <r>
    <x v="348"/>
    <x v="3"/>
    <x v="4"/>
    <x v="3"/>
    <x v="2"/>
    <n v="1276.8800000000001"/>
  </r>
  <r>
    <x v="25"/>
    <x v="2"/>
    <x v="2"/>
    <x v="2"/>
    <x v="7"/>
    <n v="1274.8499999999999"/>
  </r>
  <r>
    <x v="349"/>
    <x v="3"/>
    <x v="2"/>
    <x v="2"/>
    <x v="3"/>
    <n v="1384.51"/>
  </r>
  <r>
    <x v="350"/>
    <x v="1"/>
    <x v="0"/>
    <x v="0"/>
    <x v="5"/>
    <n v="1647.19"/>
  </r>
  <r>
    <x v="351"/>
    <x v="3"/>
    <x v="3"/>
    <x v="1"/>
    <x v="0"/>
    <n v="1451.24"/>
  </r>
  <r>
    <x v="326"/>
    <x v="0"/>
    <x v="0"/>
    <x v="0"/>
    <x v="7"/>
    <n v="2983.98"/>
  </r>
  <r>
    <x v="258"/>
    <x v="2"/>
    <x v="5"/>
    <x v="2"/>
    <x v="3"/>
    <n v="2672.04"/>
  </r>
  <r>
    <x v="149"/>
    <x v="1"/>
    <x v="6"/>
    <x v="3"/>
    <x v="2"/>
    <n v="1232.3900000000001"/>
  </r>
  <r>
    <x v="352"/>
    <x v="0"/>
    <x v="0"/>
    <x v="0"/>
    <x v="3"/>
    <n v="2016.36"/>
  </r>
  <r>
    <x v="353"/>
    <x v="0"/>
    <x v="0"/>
    <x v="0"/>
    <x v="4"/>
    <n v="545.82000000000005"/>
  </r>
  <r>
    <x v="204"/>
    <x v="2"/>
    <x v="5"/>
    <x v="2"/>
    <x v="3"/>
    <n v="853.91"/>
  </r>
  <r>
    <x v="61"/>
    <x v="2"/>
    <x v="1"/>
    <x v="1"/>
    <x v="0"/>
    <n v="684.03"/>
  </r>
  <r>
    <x v="260"/>
    <x v="2"/>
    <x v="0"/>
    <x v="0"/>
    <x v="5"/>
    <n v="770.5"/>
  </r>
  <r>
    <x v="354"/>
    <x v="3"/>
    <x v="1"/>
    <x v="1"/>
    <x v="3"/>
    <n v="1237.24"/>
  </r>
  <r>
    <x v="345"/>
    <x v="1"/>
    <x v="5"/>
    <x v="2"/>
    <x v="7"/>
    <n v="843.56"/>
  </r>
  <r>
    <x v="355"/>
    <x v="3"/>
    <x v="3"/>
    <x v="1"/>
    <x v="2"/>
    <n v="1410.65"/>
  </r>
  <r>
    <x v="334"/>
    <x v="1"/>
    <x v="7"/>
    <x v="0"/>
    <x v="1"/>
    <n v="1808.81"/>
  </r>
  <r>
    <x v="178"/>
    <x v="3"/>
    <x v="4"/>
    <x v="3"/>
    <x v="0"/>
    <n v="1089.21"/>
  </r>
  <r>
    <x v="356"/>
    <x v="2"/>
    <x v="3"/>
    <x v="1"/>
    <x v="5"/>
    <n v="126.79"/>
  </r>
  <r>
    <x v="357"/>
    <x v="0"/>
    <x v="7"/>
    <x v="0"/>
    <x v="4"/>
    <n v="409.34"/>
  </r>
  <r>
    <x v="358"/>
    <x v="2"/>
    <x v="3"/>
    <x v="1"/>
    <x v="5"/>
    <n v="733.07"/>
  </r>
  <r>
    <x v="301"/>
    <x v="0"/>
    <x v="4"/>
    <x v="3"/>
    <x v="4"/>
    <n v="537.69000000000005"/>
  </r>
  <r>
    <x v="359"/>
    <x v="0"/>
    <x v="1"/>
    <x v="1"/>
    <x v="1"/>
    <n v="218.85"/>
  </r>
  <r>
    <x v="337"/>
    <x v="2"/>
    <x v="7"/>
    <x v="0"/>
    <x v="4"/>
    <n v="486.95"/>
  </r>
  <r>
    <x v="360"/>
    <x v="2"/>
    <x v="3"/>
    <x v="1"/>
    <x v="1"/>
    <n v="1118.52"/>
  </r>
  <r>
    <x v="361"/>
    <x v="2"/>
    <x v="3"/>
    <x v="1"/>
    <x v="4"/>
    <n v="792.68"/>
  </r>
  <r>
    <x v="362"/>
    <x v="3"/>
    <x v="5"/>
    <x v="2"/>
    <x v="5"/>
    <n v="1614.51"/>
  </r>
  <r>
    <x v="363"/>
    <x v="3"/>
    <x v="6"/>
    <x v="3"/>
    <x v="5"/>
    <n v="547.44000000000005"/>
  </r>
  <r>
    <x v="364"/>
    <x v="0"/>
    <x v="4"/>
    <x v="3"/>
    <x v="2"/>
    <n v="177.62"/>
  </r>
  <r>
    <x v="7"/>
    <x v="0"/>
    <x v="2"/>
    <x v="2"/>
    <x v="5"/>
    <n v="662.68"/>
  </r>
  <r>
    <x v="365"/>
    <x v="2"/>
    <x v="0"/>
    <x v="0"/>
    <x v="6"/>
    <n v="3333.04"/>
  </r>
  <r>
    <x v="366"/>
    <x v="3"/>
    <x v="2"/>
    <x v="2"/>
    <x v="0"/>
    <n v="161.47999999999999"/>
  </r>
  <r>
    <x v="367"/>
    <x v="1"/>
    <x v="5"/>
    <x v="2"/>
    <x v="0"/>
    <n v="1552.51"/>
  </r>
  <r>
    <x v="368"/>
    <x v="1"/>
    <x v="5"/>
    <x v="2"/>
    <x v="3"/>
    <n v="2475.64"/>
  </r>
  <r>
    <x v="369"/>
    <x v="1"/>
    <x v="1"/>
    <x v="1"/>
    <x v="1"/>
    <n v="394.41"/>
  </r>
  <r>
    <x v="370"/>
    <x v="3"/>
    <x v="3"/>
    <x v="1"/>
    <x v="6"/>
    <n v="3570.84"/>
  </r>
  <r>
    <x v="236"/>
    <x v="1"/>
    <x v="5"/>
    <x v="2"/>
    <x v="1"/>
    <n v="780.79"/>
  </r>
  <r>
    <x v="371"/>
    <x v="2"/>
    <x v="3"/>
    <x v="1"/>
    <x v="1"/>
    <n v="241.67"/>
  </r>
  <r>
    <x v="372"/>
    <x v="0"/>
    <x v="1"/>
    <x v="1"/>
    <x v="7"/>
    <n v="324"/>
  </r>
  <r>
    <x v="373"/>
    <x v="2"/>
    <x v="5"/>
    <x v="2"/>
    <x v="4"/>
    <n v="788.94"/>
  </r>
  <r>
    <x v="374"/>
    <x v="1"/>
    <x v="1"/>
    <x v="1"/>
    <x v="0"/>
    <n v="1650.64"/>
  </r>
  <r>
    <x v="375"/>
    <x v="0"/>
    <x v="0"/>
    <x v="0"/>
    <x v="4"/>
    <n v="380.22"/>
  </r>
  <r>
    <x v="376"/>
    <x v="0"/>
    <x v="6"/>
    <x v="3"/>
    <x v="2"/>
    <n v="509.21"/>
  </r>
  <r>
    <x v="377"/>
    <x v="0"/>
    <x v="3"/>
    <x v="1"/>
    <x v="4"/>
    <n v="340.49"/>
  </r>
  <r>
    <x v="15"/>
    <x v="3"/>
    <x v="6"/>
    <x v="3"/>
    <x v="4"/>
    <n v="120.48"/>
  </r>
  <r>
    <x v="378"/>
    <x v="3"/>
    <x v="3"/>
    <x v="1"/>
    <x v="1"/>
    <n v="903.05"/>
  </r>
  <r>
    <x v="293"/>
    <x v="0"/>
    <x v="3"/>
    <x v="1"/>
    <x v="4"/>
    <n v="252.3"/>
  </r>
  <r>
    <x v="26"/>
    <x v="3"/>
    <x v="7"/>
    <x v="0"/>
    <x v="7"/>
    <n v="1763.57"/>
  </r>
  <r>
    <x v="233"/>
    <x v="3"/>
    <x v="6"/>
    <x v="3"/>
    <x v="2"/>
    <n v="1188.17"/>
  </r>
  <r>
    <x v="379"/>
    <x v="1"/>
    <x v="6"/>
    <x v="3"/>
    <x v="1"/>
    <n v="278.98"/>
  </r>
  <r>
    <x v="356"/>
    <x v="2"/>
    <x v="3"/>
    <x v="1"/>
    <x v="3"/>
    <n v="424.1"/>
  </r>
  <r>
    <x v="380"/>
    <x v="1"/>
    <x v="0"/>
    <x v="0"/>
    <x v="7"/>
    <n v="902.03"/>
  </r>
  <r>
    <x v="69"/>
    <x v="3"/>
    <x v="0"/>
    <x v="0"/>
    <x v="3"/>
    <n v="552.51"/>
  </r>
  <r>
    <x v="381"/>
    <x v="0"/>
    <x v="0"/>
    <x v="0"/>
    <x v="3"/>
    <n v="1555.04"/>
  </r>
  <r>
    <x v="79"/>
    <x v="3"/>
    <x v="5"/>
    <x v="2"/>
    <x v="6"/>
    <n v="2339.6"/>
  </r>
  <r>
    <x v="382"/>
    <x v="0"/>
    <x v="5"/>
    <x v="2"/>
    <x v="4"/>
    <n v="328.92"/>
  </r>
  <r>
    <x v="383"/>
    <x v="2"/>
    <x v="2"/>
    <x v="2"/>
    <x v="4"/>
    <n v="312.16000000000003"/>
  </r>
  <r>
    <x v="153"/>
    <x v="2"/>
    <x v="1"/>
    <x v="1"/>
    <x v="2"/>
    <n v="941.44"/>
  </r>
  <r>
    <x v="302"/>
    <x v="1"/>
    <x v="6"/>
    <x v="3"/>
    <x v="7"/>
    <n v="2907.36"/>
  </r>
  <r>
    <x v="384"/>
    <x v="3"/>
    <x v="5"/>
    <x v="2"/>
    <x v="3"/>
    <n v="2418.02"/>
  </r>
  <r>
    <x v="217"/>
    <x v="3"/>
    <x v="2"/>
    <x v="2"/>
    <x v="7"/>
    <n v="1700.22"/>
  </r>
  <r>
    <x v="379"/>
    <x v="1"/>
    <x v="3"/>
    <x v="1"/>
    <x v="4"/>
    <n v="707.19"/>
  </r>
  <r>
    <x v="385"/>
    <x v="0"/>
    <x v="6"/>
    <x v="3"/>
    <x v="7"/>
    <n v="1254.32"/>
  </r>
  <r>
    <x v="386"/>
    <x v="2"/>
    <x v="6"/>
    <x v="3"/>
    <x v="3"/>
    <n v="2007.82"/>
  </r>
  <r>
    <x v="387"/>
    <x v="2"/>
    <x v="1"/>
    <x v="1"/>
    <x v="3"/>
    <n v="282.25"/>
  </r>
  <r>
    <x v="388"/>
    <x v="1"/>
    <x v="2"/>
    <x v="2"/>
    <x v="4"/>
    <n v="438.41"/>
  </r>
  <r>
    <x v="157"/>
    <x v="2"/>
    <x v="6"/>
    <x v="3"/>
    <x v="0"/>
    <n v="1119.3"/>
  </r>
  <r>
    <x v="34"/>
    <x v="1"/>
    <x v="4"/>
    <x v="3"/>
    <x v="6"/>
    <n v="2271.7800000000002"/>
  </r>
  <r>
    <x v="389"/>
    <x v="0"/>
    <x v="2"/>
    <x v="2"/>
    <x v="0"/>
    <n v="618.34"/>
  </r>
  <r>
    <x v="262"/>
    <x v="0"/>
    <x v="6"/>
    <x v="3"/>
    <x v="7"/>
    <n v="1422.45"/>
  </r>
  <r>
    <x v="390"/>
    <x v="3"/>
    <x v="6"/>
    <x v="3"/>
    <x v="0"/>
    <n v="1903.18"/>
  </r>
  <r>
    <x v="391"/>
    <x v="2"/>
    <x v="3"/>
    <x v="1"/>
    <x v="5"/>
    <n v="411.94"/>
  </r>
  <r>
    <x v="392"/>
    <x v="1"/>
    <x v="1"/>
    <x v="1"/>
    <x v="1"/>
    <n v="146.86000000000001"/>
  </r>
  <r>
    <x v="256"/>
    <x v="1"/>
    <x v="6"/>
    <x v="3"/>
    <x v="6"/>
    <n v="2916.52"/>
  </r>
  <r>
    <x v="393"/>
    <x v="2"/>
    <x v="6"/>
    <x v="3"/>
    <x v="5"/>
    <n v="647.72"/>
  </r>
  <r>
    <x v="240"/>
    <x v="3"/>
    <x v="2"/>
    <x v="2"/>
    <x v="6"/>
    <n v="890.08"/>
  </r>
  <r>
    <x v="194"/>
    <x v="1"/>
    <x v="3"/>
    <x v="1"/>
    <x v="6"/>
    <n v="1082.32"/>
  </r>
  <r>
    <x v="394"/>
    <x v="3"/>
    <x v="1"/>
    <x v="1"/>
    <x v="2"/>
    <n v="1536.94"/>
  </r>
  <r>
    <x v="177"/>
    <x v="2"/>
    <x v="4"/>
    <x v="3"/>
    <x v="2"/>
    <n v="747.3"/>
  </r>
  <r>
    <x v="384"/>
    <x v="3"/>
    <x v="1"/>
    <x v="1"/>
    <x v="0"/>
    <n v="641.13"/>
  </r>
  <r>
    <x v="309"/>
    <x v="1"/>
    <x v="0"/>
    <x v="0"/>
    <x v="5"/>
    <n v="377.61"/>
  </r>
  <r>
    <x v="109"/>
    <x v="2"/>
    <x v="2"/>
    <x v="2"/>
    <x v="1"/>
    <n v="1803.8"/>
  </r>
  <r>
    <x v="395"/>
    <x v="2"/>
    <x v="7"/>
    <x v="0"/>
    <x v="4"/>
    <n v="236.39"/>
  </r>
  <r>
    <x v="94"/>
    <x v="3"/>
    <x v="5"/>
    <x v="2"/>
    <x v="6"/>
    <n v="2269.14"/>
  </r>
  <r>
    <x v="396"/>
    <x v="3"/>
    <x v="1"/>
    <x v="1"/>
    <x v="4"/>
    <n v="447.97"/>
  </r>
  <r>
    <x v="45"/>
    <x v="3"/>
    <x v="2"/>
    <x v="2"/>
    <x v="3"/>
    <n v="2740.63"/>
  </r>
  <r>
    <x v="397"/>
    <x v="3"/>
    <x v="5"/>
    <x v="2"/>
    <x v="6"/>
    <n v="3006.2"/>
  </r>
  <r>
    <x v="197"/>
    <x v="2"/>
    <x v="5"/>
    <x v="2"/>
    <x v="6"/>
    <n v="2136.88"/>
  </r>
  <r>
    <x v="276"/>
    <x v="0"/>
    <x v="4"/>
    <x v="3"/>
    <x v="5"/>
    <n v="106.32"/>
  </r>
  <r>
    <x v="398"/>
    <x v="1"/>
    <x v="2"/>
    <x v="2"/>
    <x v="1"/>
    <n v="932.7"/>
  </r>
  <r>
    <x v="87"/>
    <x v="0"/>
    <x v="4"/>
    <x v="3"/>
    <x v="3"/>
    <n v="2697.94"/>
  </r>
  <r>
    <x v="178"/>
    <x v="3"/>
    <x v="4"/>
    <x v="3"/>
    <x v="5"/>
    <n v="205.62"/>
  </r>
  <r>
    <x v="64"/>
    <x v="2"/>
    <x v="6"/>
    <x v="3"/>
    <x v="0"/>
    <n v="323.25"/>
  </r>
  <r>
    <x v="399"/>
    <x v="3"/>
    <x v="0"/>
    <x v="0"/>
    <x v="2"/>
    <n v="1873.82"/>
  </r>
  <r>
    <x v="250"/>
    <x v="0"/>
    <x v="3"/>
    <x v="1"/>
    <x v="5"/>
    <n v="1955.71"/>
  </r>
  <r>
    <x v="26"/>
    <x v="3"/>
    <x v="2"/>
    <x v="2"/>
    <x v="6"/>
    <n v="3528.44"/>
  </r>
  <r>
    <x v="319"/>
    <x v="1"/>
    <x v="6"/>
    <x v="3"/>
    <x v="3"/>
    <n v="631.83000000000004"/>
  </r>
  <r>
    <x v="400"/>
    <x v="3"/>
    <x v="2"/>
    <x v="2"/>
    <x v="0"/>
    <n v="1932.41"/>
  </r>
  <r>
    <x v="313"/>
    <x v="1"/>
    <x v="4"/>
    <x v="3"/>
    <x v="3"/>
    <n v="1047"/>
  </r>
  <r>
    <x v="401"/>
    <x v="0"/>
    <x v="5"/>
    <x v="2"/>
    <x v="1"/>
    <n v="1205.3599999999999"/>
  </r>
  <r>
    <x v="232"/>
    <x v="0"/>
    <x v="1"/>
    <x v="1"/>
    <x v="1"/>
    <n v="203.54"/>
  </r>
  <r>
    <x v="402"/>
    <x v="3"/>
    <x v="0"/>
    <x v="0"/>
    <x v="5"/>
    <n v="1491.84"/>
  </r>
  <r>
    <x v="403"/>
    <x v="3"/>
    <x v="5"/>
    <x v="2"/>
    <x v="6"/>
    <n v="3885.96"/>
  </r>
  <r>
    <x v="35"/>
    <x v="3"/>
    <x v="7"/>
    <x v="0"/>
    <x v="4"/>
    <n v="654.94000000000005"/>
  </r>
  <r>
    <x v="199"/>
    <x v="1"/>
    <x v="4"/>
    <x v="3"/>
    <x v="0"/>
    <n v="131.82"/>
  </r>
  <r>
    <x v="268"/>
    <x v="2"/>
    <x v="2"/>
    <x v="2"/>
    <x v="7"/>
    <n v="1497.39"/>
  </r>
  <r>
    <x v="29"/>
    <x v="1"/>
    <x v="5"/>
    <x v="2"/>
    <x v="0"/>
    <n v="1213.98"/>
  </r>
  <r>
    <x v="190"/>
    <x v="3"/>
    <x v="5"/>
    <x v="2"/>
    <x v="5"/>
    <n v="343.29"/>
  </r>
  <r>
    <x v="404"/>
    <x v="0"/>
    <x v="6"/>
    <x v="3"/>
    <x v="4"/>
    <n v="572.65"/>
  </r>
  <r>
    <x v="58"/>
    <x v="3"/>
    <x v="0"/>
    <x v="0"/>
    <x v="4"/>
    <n v="481.34"/>
  </r>
  <r>
    <x v="405"/>
    <x v="1"/>
    <x v="7"/>
    <x v="0"/>
    <x v="5"/>
    <n v="699.74"/>
  </r>
  <r>
    <x v="177"/>
    <x v="2"/>
    <x v="7"/>
    <x v="0"/>
    <x v="1"/>
    <n v="1020.24"/>
  </r>
  <r>
    <x v="21"/>
    <x v="3"/>
    <x v="3"/>
    <x v="1"/>
    <x v="2"/>
    <n v="1502.67"/>
  </r>
  <r>
    <x v="300"/>
    <x v="0"/>
    <x v="1"/>
    <x v="1"/>
    <x v="0"/>
    <n v="514.98"/>
  </r>
  <r>
    <x v="267"/>
    <x v="2"/>
    <x v="0"/>
    <x v="0"/>
    <x v="3"/>
    <n v="1873.81"/>
  </r>
  <r>
    <x v="406"/>
    <x v="0"/>
    <x v="7"/>
    <x v="0"/>
    <x v="6"/>
    <n v="3970.44"/>
  </r>
  <r>
    <x v="215"/>
    <x v="1"/>
    <x v="6"/>
    <x v="3"/>
    <x v="4"/>
    <n v="641.79999999999995"/>
  </r>
  <r>
    <x v="407"/>
    <x v="2"/>
    <x v="0"/>
    <x v="0"/>
    <x v="3"/>
    <n v="850.7"/>
  </r>
  <r>
    <x v="408"/>
    <x v="1"/>
    <x v="6"/>
    <x v="3"/>
    <x v="0"/>
    <n v="1738.09"/>
  </r>
  <r>
    <x v="133"/>
    <x v="1"/>
    <x v="7"/>
    <x v="0"/>
    <x v="3"/>
    <n v="2612.98"/>
  </r>
  <r>
    <x v="409"/>
    <x v="1"/>
    <x v="7"/>
    <x v="0"/>
    <x v="0"/>
    <n v="176.72"/>
  </r>
  <r>
    <x v="41"/>
    <x v="3"/>
    <x v="5"/>
    <x v="2"/>
    <x v="6"/>
    <n v="1157.8599999999999"/>
  </r>
  <r>
    <x v="232"/>
    <x v="0"/>
    <x v="1"/>
    <x v="1"/>
    <x v="3"/>
    <n v="1609.45"/>
  </r>
  <r>
    <x v="153"/>
    <x v="2"/>
    <x v="7"/>
    <x v="0"/>
    <x v="2"/>
    <n v="1344.73"/>
  </r>
  <r>
    <x v="410"/>
    <x v="0"/>
    <x v="5"/>
    <x v="2"/>
    <x v="1"/>
    <n v="780.11"/>
  </r>
  <r>
    <x v="154"/>
    <x v="1"/>
    <x v="4"/>
    <x v="3"/>
    <x v="5"/>
    <n v="155.11000000000001"/>
  </r>
  <r>
    <x v="175"/>
    <x v="3"/>
    <x v="6"/>
    <x v="3"/>
    <x v="5"/>
    <n v="625.34"/>
  </r>
  <r>
    <x v="170"/>
    <x v="2"/>
    <x v="7"/>
    <x v="0"/>
    <x v="1"/>
    <n v="1406.4"/>
  </r>
  <r>
    <x v="316"/>
    <x v="2"/>
    <x v="5"/>
    <x v="2"/>
    <x v="6"/>
    <n v="1885.7"/>
  </r>
  <r>
    <x v="194"/>
    <x v="1"/>
    <x v="3"/>
    <x v="1"/>
    <x v="1"/>
    <n v="743.69"/>
  </r>
  <r>
    <x v="411"/>
    <x v="2"/>
    <x v="4"/>
    <x v="3"/>
    <x v="6"/>
    <n v="3948.18"/>
  </r>
  <r>
    <x v="202"/>
    <x v="3"/>
    <x v="0"/>
    <x v="0"/>
    <x v="6"/>
    <n v="2795.44"/>
  </r>
  <r>
    <x v="412"/>
    <x v="0"/>
    <x v="7"/>
    <x v="0"/>
    <x v="2"/>
    <n v="1619.32"/>
  </r>
  <r>
    <x v="413"/>
    <x v="1"/>
    <x v="5"/>
    <x v="2"/>
    <x v="2"/>
    <n v="510.13"/>
  </r>
  <r>
    <x v="74"/>
    <x v="3"/>
    <x v="3"/>
    <x v="1"/>
    <x v="2"/>
    <n v="1382.99"/>
  </r>
  <r>
    <x v="73"/>
    <x v="3"/>
    <x v="0"/>
    <x v="0"/>
    <x v="3"/>
    <n v="2423.66"/>
  </r>
  <r>
    <x v="179"/>
    <x v="2"/>
    <x v="2"/>
    <x v="2"/>
    <x v="5"/>
    <n v="1000.4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outline="1" outlineData="1" multipleFieldFilters="0" chartFormat="7">
  <location ref="B5:C16" firstHeaderRow="1" firstDataRow="1" firstDataCol="1"/>
  <pivotFields count="6">
    <pivotField axis="axisRow" numFmtId="14" showAll="0">
      <items count="5">
        <item x="0"/>
        <item x="1"/>
        <item x="2"/>
        <item x="3"/>
        <item t="default"/>
      </items>
    </pivotField>
    <pivotField showAll="0"/>
    <pivotField showAll="0"/>
    <pivotField axis="axisRow" showAll="0">
      <items count="5">
        <item x="2"/>
        <item x="1"/>
        <item x="0"/>
        <item x="3"/>
        <item t="default"/>
      </items>
    </pivotField>
    <pivotField showAll="0">
      <items count="9">
        <item x="7"/>
        <item x="6"/>
        <item x="3"/>
        <item x="5"/>
        <item x="2"/>
        <item x="0"/>
        <item x="4"/>
        <item x="1"/>
        <item t="default"/>
      </items>
    </pivotField>
    <pivotField dataField="1" numFmtId="4" showAll="0"/>
  </pivotFields>
  <rowFields count="2">
    <field x="0"/>
    <field x="3"/>
  </rowFields>
  <rowItems count="11"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 t="grand">
      <x/>
    </i>
  </rowItems>
  <colItems count="1">
    <i/>
  </colItems>
  <dataFields count="1">
    <dataField name="Summe von Kosten" fld="5" baseField="0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3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outline="1" outlineData="1" multipleFieldFilters="0" chartFormat="1">
  <location ref="B5:O10" firstHeaderRow="1" firstDataRow="3" firstDataCol="1"/>
  <pivotFields count="6">
    <pivotField axis="axisRow" numFmtId="14" showAll="0">
      <items count="5">
        <item x="0"/>
        <item x="1"/>
        <item x="2"/>
        <item x="3"/>
        <item t="default"/>
      </items>
    </pivotField>
    <pivotField showAll="0"/>
    <pivotField axis="axisCol" showAll="0">
      <items count="9">
        <item x="3"/>
        <item x="2"/>
        <item x="1"/>
        <item x="4"/>
        <item x="5"/>
        <item x="6"/>
        <item x="0"/>
        <item x="7"/>
        <item t="default"/>
      </items>
    </pivotField>
    <pivotField axis="axisCol" showAll="0">
      <items count="5">
        <item x="2"/>
        <item x="1"/>
        <item x="0"/>
        <item x="3"/>
        <item t="default"/>
      </items>
    </pivotField>
    <pivotField showAll="0"/>
    <pivotField dataField="1" numFmtId="4" showAll="0"/>
  </pivotFields>
  <rowFields count="1">
    <field x="0"/>
  </rowFields>
  <rowItems count="3">
    <i>
      <x v="1"/>
    </i>
    <i>
      <x v="2"/>
    </i>
    <i t="grand">
      <x/>
    </i>
  </rowItems>
  <colFields count="2">
    <field x="3"/>
    <field x="2"/>
  </colFields>
  <colItems count="13">
    <i>
      <x/>
      <x v="1"/>
    </i>
    <i r="1">
      <x v="4"/>
    </i>
    <i t="default">
      <x/>
    </i>
    <i>
      <x v="1"/>
      <x/>
    </i>
    <i r="1">
      <x v="2"/>
    </i>
    <i t="default">
      <x v="1"/>
    </i>
    <i>
      <x v="2"/>
      <x v="6"/>
    </i>
    <i r="1">
      <x v="7"/>
    </i>
    <i t="default">
      <x v="2"/>
    </i>
    <i>
      <x v="3"/>
      <x v="3"/>
    </i>
    <i r="1">
      <x v="5"/>
    </i>
    <i t="default">
      <x v="3"/>
    </i>
    <i t="grand">
      <x/>
    </i>
  </colItems>
  <dataFields count="1">
    <dataField name="Summe von Kosten" fld="5" baseField="0" baseItem="0" numFmtId="3"/>
  </dataFields>
  <chartFormats count="8">
    <chartFormat chart="0" format="0" series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1"/>
          </reference>
          <reference field="3" count="1" selected="0">
            <x v="0"/>
          </reference>
        </references>
      </pivotArea>
    </chartFormat>
    <chartFormat chart="0" format="1" series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4"/>
          </reference>
          <reference field="3" count="1" selected="0">
            <x v="0"/>
          </reference>
        </references>
      </pivotArea>
    </chartFormat>
    <chartFormat chart="0" format="2" series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0"/>
          </reference>
          <reference field="3" count="1" selected="0">
            <x v="1"/>
          </reference>
        </references>
      </pivotArea>
    </chartFormat>
    <chartFormat chart="0" format="3" series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2"/>
          </reference>
          <reference field="3" count="1" selected="0">
            <x v="1"/>
          </reference>
        </references>
      </pivotArea>
    </chartFormat>
    <chartFormat chart="0" format="4" series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6"/>
          </reference>
          <reference field="3" count="1" selected="0">
            <x v="2"/>
          </reference>
        </references>
      </pivotArea>
    </chartFormat>
    <chartFormat chart="0" format="5" series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7"/>
          </reference>
          <reference field="3" count="1" selected="0">
            <x v="2"/>
          </reference>
        </references>
      </pivotArea>
    </chartFormat>
    <chartFormat chart="0" format="6" series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3"/>
          </reference>
          <reference field="3" count="1" selected="0">
            <x v="3"/>
          </reference>
        </references>
      </pivotArea>
    </chartFormat>
    <chartFormat chart="0" format="7" series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5"/>
          </reference>
          <reference field="3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6" name="tblBasisdaten" displayName="tblBasisdaten" ref="B5:G605" totalsRowShown="0">
  <autoFilter ref="B5:G605"/>
  <tableColumns count="6">
    <tableColumn id="2" name="Datum" dataDxfId="27"/>
    <tableColumn id="3" name="Quartal" dataDxfId="26"/>
    <tableColumn id="4" name="Standort" dataDxfId="25"/>
    <tableColumn id="5" name="Region" dataDxfId="24"/>
    <tableColumn id="6" name="Kostenart" dataDxfId="23"/>
    <tableColumn id="7" name="Kosten" dataDxfId="22"/>
  </tableColumns>
  <tableStyleInfo name="Dunkelblau mit Rahmen" showFirstColumn="0" showLastColumn="0" showRowStripes="1" showColumnStripes="0"/>
</table>
</file>

<file path=xl/tables/table2.xml><?xml version="1.0" encoding="utf-8"?>
<table xmlns="http://schemas.openxmlformats.org/spreadsheetml/2006/main" id="2" name="tblSzenario2" displayName="tblSzenario2" ref="B5:F3005" totalsRowShown="0">
  <autoFilter ref="B5:F3005"/>
  <tableColumns count="5">
    <tableColumn id="1" name="Stadt" dataDxfId="21"/>
    <tableColumn id="3" name="Datum" dataDxfId="20"/>
    <tableColumn id="7" name="Verkäufer" dataDxfId="19"/>
    <tableColumn id="8" name="Produktgruppe" dataDxfId="18"/>
    <tableColumn id="11" name="Umsatz" dataDxfId="17"/>
  </tableColumns>
  <tableStyleInfo name="Dunkelblau mit Rahmen" showFirstColumn="0" showLastColumn="0" showRowStripes="1" showColumnStripes="0"/>
</table>
</file>

<file path=xl/tables/table3.xml><?xml version="1.0" encoding="utf-8"?>
<table xmlns="http://schemas.openxmlformats.org/spreadsheetml/2006/main" id="1" name="tblSzenario3" displayName="tblSzenario3" ref="B5:G605" totalsRowShown="0">
  <autoFilter ref="B5:G605"/>
  <tableColumns count="6">
    <tableColumn id="2" name="Datum" dataDxfId="16"/>
    <tableColumn id="3" name="Quartal" dataDxfId="15"/>
    <tableColumn id="4" name="Standort" dataDxfId="14"/>
    <tableColumn id="5" name="Region" dataDxfId="13"/>
    <tableColumn id="6" name="Kostenart" dataDxfId="12"/>
    <tableColumn id="7" name="Kosten" dataDxfId="11"/>
  </tableColumns>
  <tableStyleInfo name="Dunkelblau mit Rahmen" showFirstColumn="0" showLastColumn="0" showRowStripes="1" showColumnStripes="0"/>
</table>
</file>

<file path=xl/tables/table4.xml><?xml version="1.0" encoding="utf-8"?>
<table xmlns="http://schemas.openxmlformats.org/spreadsheetml/2006/main" id="3" name="tblSzenario4" displayName="tblSzenario4" ref="B5:F3005" totalsRowShown="0">
  <autoFilter ref="B5:F3005"/>
  <tableColumns count="5">
    <tableColumn id="1" name="Stadt" dataDxfId="10"/>
    <tableColumn id="3" name="Datum" dataDxfId="9"/>
    <tableColumn id="7" name="Verkäufer" dataDxfId="8"/>
    <tableColumn id="8" name="Produktgruppe" dataDxfId="7"/>
    <tableColumn id="11" name="Umsatz" dataDxfId="6"/>
  </tableColumns>
  <tableStyleInfo name="Dunkelblau mit Rahmen" showFirstColumn="0" showLastColumn="0" showRowStripes="1" showColumnStripes="0"/>
</table>
</file>

<file path=xl/tables/table5.xml><?xml version="1.0" encoding="utf-8"?>
<table xmlns="http://schemas.openxmlformats.org/spreadsheetml/2006/main" id="5" name="tblFilter" displayName="tblFilter" ref="B5:G605" totalsRowShown="0">
  <autoFilter ref="B5:G605"/>
  <tableColumns count="6">
    <tableColumn id="2" name="Datum" dataDxfId="5"/>
    <tableColumn id="3" name="Quartal" dataDxfId="4"/>
    <tableColumn id="4" name="Standort" dataDxfId="3"/>
    <tableColumn id="5" name="Region" dataDxfId="2"/>
    <tableColumn id="6" name="Kostenart" dataDxfId="1"/>
    <tableColumn id="7" name="Kosten" dataDxfId="0"/>
  </tableColumns>
  <tableStyleInfo name="Dunkelblau mit Rahmen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office-performance.de/" TargetMode="External"/><Relationship Id="rId1" Type="http://schemas.openxmlformats.org/officeDocument/2006/relationships/hyperlink" Target="http://www.office-performance.de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2:K18"/>
  <sheetViews>
    <sheetView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28" t="s">
        <v>0</v>
      </c>
      <c r="C2" s="29"/>
      <c r="D2" s="29"/>
      <c r="E2" s="29"/>
      <c r="F2" s="29"/>
      <c r="G2" s="29"/>
      <c r="H2" s="29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13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6" t="s">
        <v>4</v>
      </c>
      <c r="D6" s="15" t="s">
        <v>50</v>
      </c>
      <c r="E6" s="10"/>
      <c r="F6" s="10"/>
      <c r="G6" s="10"/>
      <c r="H6" s="10"/>
      <c r="I6" s="11"/>
      <c r="J6" s="12"/>
    </row>
    <row r="7" spans="1:11" ht="8.1" customHeight="1" x14ac:dyDescent="0.25"/>
    <row r="8" spans="1:11" ht="30" customHeight="1" x14ac:dyDescent="0.25">
      <c r="B8" s="16" t="s">
        <v>5</v>
      </c>
      <c r="D8" s="15" t="s">
        <v>51</v>
      </c>
      <c r="E8" s="10"/>
      <c r="F8" s="10"/>
      <c r="G8" s="10"/>
      <c r="H8" s="10"/>
      <c r="I8" s="11"/>
      <c r="J8" s="12"/>
    </row>
    <row r="9" spans="1:11" ht="8.1" customHeight="1" x14ac:dyDescent="0.25"/>
    <row r="10" spans="1:11" ht="30" customHeight="1" x14ac:dyDescent="0.25">
      <c r="B10" s="16" t="s">
        <v>6</v>
      </c>
      <c r="D10" s="15" t="s">
        <v>54</v>
      </c>
      <c r="E10" s="10"/>
      <c r="F10" s="10"/>
      <c r="G10" s="10"/>
      <c r="H10" s="10"/>
      <c r="I10" s="11"/>
      <c r="J10" s="12"/>
    </row>
    <row r="11" spans="1:11" ht="8.1" customHeight="1" x14ac:dyDescent="0.25"/>
    <row r="12" spans="1:11" ht="30" customHeight="1" x14ac:dyDescent="0.25">
      <c r="B12" s="16" t="s">
        <v>1</v>
      </c>
      <c r="D12" s="15" t="s">
        <v>52</v>
      </c>
      <c r="E12" s="10"/>
      <c r="F12" s="10"/>
      <c r="G12" s="10"/>
      <c r="H12" s="10"/>
      <c r="I12" s="11"/>
      <c r="J12" s="12"/>
    </row>
    <row r="13" spans="1:11" ht="8.1" customHeight="1" x14ac:dyDescent="0.25"/>
    <row r="14" spans="1:11" ht="30" customHeight="1" x14ac:dyDescent="0.25">
      <c r="B14" s="16" t="s">
        <v>2</v>
      </c>
      <c r="D14" s="15" t="s">
        <v>53</v>
      </c>
      <c r="E14" s="10"/>
      <c r="F14" s="10"/>
      <c r="G14" s="10"/>
      <c r="H14" s="10"/>
      <c r="I14" s="11"/>
      <c r="J14" s="12"/>
    </row>
    <row r="15" spans="1:11" ht="8.1" customHeight="1" x14ac:dyDescent="0.25"/>
    <row r="17" spans="1:11" x14ac:dyDescent="0.25">
      <c r="A17" s="3"/>
      <c r="B17" s="13" t="s">
        <v>3</v>
      </c>
      <c r="C17" s="8"/>
      <c r="D17" s="8"/>
      <c r="E17" s="9"/>
      <c r="F17" s="9"/>
      <c r="G17" s="9"/>
      <c r="H17" s="9"/>
      <c r="I17" s="9"/>
      <c r="J17" s="9"/>
      <c r="K17" s="9"/>
    </row>
    <row r="18" spans="1:11" x14ac:dyDescent="0.25">
      <c r="B18" s="30" t="s">
        <v>87</v>
      </c>
      <c r="C18" s="30"/>
      <c r="D18" s="30"/>
      <c r="E18" s="30"/>
      <c r="F18" s="30"/>
      <c r="G18" s="30"/>
      <c r="H18" s="30"/>
      <c r="I18" s="30"/>
      <c r="J18" s="30"/>
      <c r="K18" s="30"/>
    </row>
  </sheetData>
  <mergeCells count="1">
    <mergeCell ref="B2:H2"/>
  </mergeCells>
  <hyperlinks>
    <hyperlink ref="B18" r:id="rId1"/>
    <hyperlink ref="B18:K18" r:id="rId2" display="Dietmar Gieringer  |  www.office-performance.de"/>
  </hyperlinks>
  <pageMargins left="0.7" right="0.7" top="0.78740157499999996" bottom="0.78740157499999996" header="0.3" footer="0.3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G605"/>
  <sheetViews>
    <sheetView showGridLines="0" zoomScaleNormal="100" workbookViewId="0"/>
  </sheetViews>
  <sheetFormatPr baseColWidth="10" defaultRowHeight="15" x14ac:dyDescent="0.25"/>
  <cols>
    <col min="1" max="1" width="8.5703125" style="17" customWidth="1"/>
    <col min="2" max="2" width="12.7109375" style="17" customWidth="1"/>
    <col min="3" max="3" width="11.7109375" style="17" customWidth="1"/>
    <col min="4" max="4" width="15.7109375" style="17" customWidth="1"/>
    <col min="5" max="5" width="13.7109375" style="17" customWidth="1"/>
    <col min="6" max="6" width="16.7109375" style="17" customWidth="1"/>
    <col min="7" max="7" width="12.7109375" style="17" customWidth="1"/>
    <col min="8" max="8" width="19" style="17" bestFit="1" customWidth="1"/>
    <col min="9" max="16384" width="11.42578125" style="17"/>
  </cols>
  <sheetData>
    <row r="1" spans="1:7" ht="45" customHeight="1" x14ac:dyDescent="0.7">
      <c r="A1" s="4"/>
      <c r="B1" s="14" t="s">
        <v>35</v>
      </c>
    </row>
    <row r="2" spans="1:7" x14ac:dyDescent="0.25">
      <c r="B2" s="17" t="s">
        <v>34</v>
      </c>
    </row>
    <row r="5" spans="1:7" x14ac:dyDescent="0.25">
      <c r="B5" s="19" t="s">
        <v>7</v>
      </c>
      <c r="C5" s="18" t="s">
        <v>14</v>
      </c>
      <c r="D5" s="18" t="s">
        <v>12</v>
      </c>
      <c r="E5" s="18" t="s">
        <v>15</v>
      </c>
      <c r="F5" s="18" t="s">
        <v>16</v>
      </c>
      <c r="G5" s="18" t="s">
        <v>17</v>
      </c>
    </row>
    <row r="6" spans="1:7" x14ac:dyDescent="0.25">
      <c r="B6" s="19">
        <v>41442</v>
      </c>
      <c r="C6" s="20">
        <v>2</v>
      </c>
      <c r="D6" s="18" t="s">
        <v>11</v>
      </c>
      <c r="E6" s="18" t="s">
        <v>23</v>
      </c>
      <c r="F6" s="18" t="s">
        <v>27</v>
      </c>
      <c r="G6" s="21">
        <v>378.45</v>
      </c>
    </row>
    <row r="7" spans="1:7" x14ac:dyDescent="0.25">
      <c r="B7" s="19">
        <v>41786</v>
      </c>
      <c r="C7" s="20">
        <v>2</v>
      </c>
      <c r="D7" s="18" t="s">
        <v>25</v>
      </c>
      <c r="E7" s="18" t="s">
        <v>26</v>
      </c>
      <c r="F7" s="18" t="s">
        <v>24</v>
      </c>
      <c r="G7" s="21">
        <v>1810.38</v>
      </c>
    </row>
    <row r="8" spans="1:7" x14ac:dyDescent="0.25">
      <c r="B8" s="19">
        <v>41537</v>
      </c>
      <c r="C8" s="20">
        <v>3</v>
      </c>
      <c r="D8" s="18" t="s">
        <v>31</v>
      </c>
      <c r="E8" s="18" t="s">
        <v>28</v>
      </c>
      <c r="F8" s="18" t="s">
        <v>32</v>
      </c>
      <c r="G8" s="21">
        <v>1153.96</v>
      </c>
    </row>
    <row r="9" spans="1:7" x14ac:dyDescent="0.25">
      <c r="B9" s="19">
        <v>41317</v>
      </c>
      <c r="C9" s="20">
        <v>1</v>
      </c>
      <c r="D9" s="18" t="s">
        <v>25</v>
      </c>
      <c r="E9" s="18" t="s">
        <v>26</v>
      </c>
      <c r="F9" s="18" t="s">
        <v>30</v>
      </c>
      <c r="G9" s="21">
        <v>2083.9299999999998</v>
      </c>
    </row>
    <row r="10" spans="1:7" x14ac:dyDescent="0.25">
      <c r="B10" s="19">
        <v>41558</v>
      </c>
      <c r="C10" s="20">
        <v>4</v>
      </c>
      <c r="D10" s="18" t="s">
        <v>25</v>
      </c>
      <c r="E10" s="18" t="s">
        <v>26</v>
      </c>
      <c r="F10" s="18" t="s">
        <v>20</v>
      </c>
      <c r="G10" s="21">
        <v>627</v>
      </c>
    </row>
    <row r="11" spans="1:7" x14ac:dyDescent="0.25">
      <c r="B11" s="19">
        <v>41809</v>
      </c>
      <c r="C11" s="20">
        <v>2</v>
      </c>
      <c r="D11" s="18" t="s">
        <v>9</v>
      </c>
      <c r="E11" s="18" t="s">
        <v>26</v>
      </c>
      <c r="F11" s="18" t="s">
        <v>24</v>
      </c>
      <c r="G11" s="21">
        <v>442.77</v>
      </c>
    </row>
    <row r="12" spans="1:7" x14ac:dyDescent="0.25">
      <c r="B12" s="19">
        <v>42002</v>
      </c>
      <c r="C12" s="20">
        <v>4</v>
      </c>
      <c r="D12" s="18" t="s">
        <v>18</v>
      </c>
      <c r="E12" s="18" t="s">
        <v>19</v>
      </c>
      <c r="F12" s="18" t="s">
        <v>24</v>
      </c>
      <c r="G12" s="21">
        <v>1459.65</v>
      </c>
    </row>
    <row r="13" spans="1:7" x14ac:dyDescent="0.25">
      <c r="B13" s="19">
        <v>41438</v>
      </c>
      <c r="C13" s="20">
        <v>2</v>
      </c>
      <c r="D13" s="18" t="s">
        <v>25</v>
      </c>
      <c r="E13" s="18" t="s">
        <v>26</v>
      </c>
      <c r="F13" s="18" t="s">
        <v>24</v>
      </c>
      <c r="G13" s="21">
        <v>1073.18</v>
      </c>
    </row>
    <row r="14" spans="1:7" x14ac:dyDescent="0.25">
      <c r="B14" s="19">
        <v>41982</v>
      </c>
      <c r="C14" s="20">
        <v>4</v>
      </c>
      <c r="D14" s="18" t="s">
        <v>31</v>
      </c>
      <c r="E14" s="18" t="s">
        <v>28</v>
      </c>
      <c r="F14" s="18" t="s">
        <v>20</v>
      </c>
      <c r="G14" s="21">
        <v>706.03</v>
      </c>
    </row>
    <row r="15" spans="1:7" x14ac:dyDescent="0.25">
      <c r="B15" s="19">
        <v>41815</v>
      </c>
      <c r="C15" s="20">
        <v>2</v>
      </c>
      <c r="D15" s="18" t="s">
        <v>31</v>
      </c>
      <c r="E15" s="18" t="s">
        <v>28</v>
      </c>
      <c r="F15" s="18" t="s">
        <v>30</v>
      </c>
      <c r="G15" s="21">
        <v>1519.22</v>
      </c>
    </row>
    <row r="16" spans="1:7" x14ac:dyDescent="0.25">
      <c r="B16" s="19">
        <v>42001</v>
      </c>
      <c r="C16" s="20">
        <v>4</v>
      </c>
      <c r="D16" s="18" t="s">
        <v>10</v>
      </c>
      <c r="E16" s="18" t="s">
        <v>28</v>
      </c>
      <c r="F16" s="18" t="s">
        <v>27</v>
      </c>
      <c r="G16" s="21">
        <v>1217.73</v>
      </c>
    </row>
    <row r="17" spans="2:7" x14ac:dyDescent="0.25">
      <c r="B17" s="19">
        <v>41545</v>
      </c>
      <c r="C17" s="20">
        <v>3</v>
      </c>
      <c r="D17" s="18" t="s">
        <v>21</v>
      </c>
      <c r="E17" s="18" t="s">
        <v>19</v>
      </c>
      <c r="F17" s="18" t="s">
        <v>30</v>
      </c>
      <c r="G17" s="21">
        <v>2242.6</v>
      </c>
    </row>
    <row r="18" spans="2:7" x14ac:dyDescent="0.25">
      <c r="B18" s="19">
        <v>41718</v>
      </c>
      <c r="C18" s="20">
        <v>1</v>
      </c>
      <c r="D18" s="18" t="s">
        <v>21</v>
      </c>
      <c r="E18" s="18" t="s">
        <v>19</v>
      </c>
      <c r="F18" s="18" t="s">
        <v>27</v>
      </c>
      <c r="G18" s="21">
        <v>834.45</v>
      </c>
    </row>
    <row r="19" spans="2:7" x14ac:dyDescent="0.25">
      <c r="B19" s="19">
        <v>41801</v>
      </c>
      <c r="C19" s="20">
        <v>2</v>
      </c>
      <c r="D19" s="18" t="s">
        <v>10</v>
      </c>
      <c r="E19" s="18" t="s">
        <v>28</v>
      </c>
      <c r="F19" s="18" t="s">
        <v>22</v>
      </c>
      <c r="G19" s="21">
        <v>227.27</v>
      </c>
    </row>
    <row r="20" spans="2:7" x14ac:dyDescent="0.25">
      <c r="B20" s="19">
        <v>41971</v>
      </c>
      <c r="C20" s="20">
        <v>4</v>
      </c>
      <c r="D20" s="18" t="s">
        <v>21</v>
      </c>
      <c r="E20" s="18" t="s">
        <v>19</v>
      </c>
      <c r="F20" s="18" t="s">
        <v>24</v>
      </c>
      <c r="G20" s="21">
        <v>1625.66</v>
      </c>
    </row>
    <row r="21" spans="2:7" x14ac:dyDescent="0.25">
      <c r="B21" s="19">
        <v>41620</v>
      </c>
      <c r="C21" s="20">
        <v>4</v>
      </c>
      <c r="D21" s="18" t="s">
        <v>18</v>
      </c>
      <c r="E21" s="18" t="s">
        <v>19</v>
      </c>
      <c r="F21" s="18" t="s">
        <v>29</v>
      </c>
      <c r="G21" s="21">
        <v>1443.02</v>
      </c>
    </row>
    <row r="22" spans="2:7" x14ac:dyDescent="0.25">
      <c r="B22" s="19">
        <v>41787</v>
      </c>
      <c r="C22" s="20">
        <v>2</v>
      </c>
      <c r="D22" s="18" t="s">
        <v>31</v>
      </c>
      <c r="E22" s="18" t="s">
        <v>28</v>
      </c>
      <c r="F22" s="18" t="s">
        <v>27</v>
      </c>
      <c r="G22" s="21">
        <v>644.6</v>
      </c>
    </row>
    <row r="23" spans="2:7" x14ac:dyDescent="0.25">
      <c r="B23" s="19">
        <v>41823</v>
      </c>
      <c r="C23" s="20">
        <v>3</v>
      </c>
      <c r="D23" s="18" t="s">
        <v>31</v>
      </c>
      <c r="E23" s="18" t="s">
        <v>28</v>
      </c>
      <c r="F23" s="18" t="s">
        <v>24</v>
      </c>
      <c r="G23" s="21">
        <v>886.38</v>
      </c>
    </row>
    <row r="24" spans="2:7" x14ac:dyDescent="0.25">
      <c r="B24" s="19">
        <v>41746</v>
      </c>
      <c r="C24" s="20">
        <v>2</v>
      </c>
      <c r="D24" s="18" t="s">
        <v>8</v>
      </c>
      <c r="E24" s="18" t="s">
        <v>23</v>
      </c>
      <c r="F24" s="18" t="s">
        <v>27</v>
      </c>
      <c r="G24" s="21">
        <v>228.24</v>
      </c>
    </row>
    <row r="25" spans="2:7" x14ac:dyDescent="0.25">
      <c r="B25" s="19">
        <v>41906</v>
      </c>
      <c r="C25" s="20">
        <v>3</v>
      </c>
      <c r="D25" s="18" t="s">
        <v>9</v>
      </c>
      <c r="E25" s="18" t="s">
        <v>26</v>
      </c>
      <c r="F25" s="18" t="s">
        <v>24</v>
      </c>
      <c r="G25" s="21">
        <v>741.85</v>
      </c>
    </row>
    <row r="26" spans="2:7" x14ac:dyDescent="0.25">
      <c r="B26" s="19">
        <v>41728</v>
      </c>
      <c r="C26" s="20">
        <v>1</v>
      </c>
      <c r="D26" s="18" t="s">
        <v>18</v>
      </c>
      <c r="E26" s="18" t="s">
        <v>19</v>
      </c>
      <c r="F26" s="18" t="s">
        <v>33</v>
      </c>
      <c r="G26" s="21">
        <v>2201.5100000000002</v>
      </c>
    </row>
    <row r="27" spans="2:7" x14ac:dyDescent="0.25">
      <c r="B27" s="19">
        <v>41632</v>
      </c>
      <c r="C27" s="20">
        <v>4</v>
      </c>
      <c r="D27" s="18" t="s">
        <v>25</v>
      </c>
      <c r="E27" s="18" t="s">
        <v>26</v>
      </c>
      <c r="F27" s="18" t="s">
        <v>27</v>
      </c>
      <c r="G27" s="21">
        <v>1946.35</v>
      </c>
    </row>
    <row r="28" spans="2:7" x14ac:dyDescent="0.25">
      <c r="B28" s="19">
        <v>41884</v>
      </c>
      <c r="C28" s="20">
        <v>3</v>
      </c>
      <c r="D28" s="18" t="s">
        <v>8</v>
      </c>
      <c r="E28" s="18" t="s">
        <v>23</v>
      </c>
      <c r="F28" s="18" t="s">
        <v>32</v>
      </c>
      <c r="G28" s="21">
        <v>1450.11</v>
      </c>
    </row>
    <row r="29" spans="2:7" x14ac:dyDescent="0.25">
      <c r="B29" s="19">
        <v>41608</v>
      </c>
      <c r="C29" s="20">
        <v>4</v>
      </c>
      <c r="D29" s="18" t="s">
        <v>9</v>
      </c>
      <c r="E29" s="18" t="s">
        <v>26</v>
      </c>
      <c r="F29" s="18" t="s">
        <v>29</v>
      </c>
      <c r="G29" s="21">
        <v>2302.2399999999998</v>
      </c>
    </row>
    <row r="30" spans="2:7" x14ac:dyDescent="0.25">
      <c r="B30" s="19">
        <v>41488</v>
      </c>
      <c r="C30" s="20">
        <v>3</v>
      </c>
      <c r="D30" s="18" t="s">
        <v>18</v>
      </c>
      <c r="E30" s="18" t="s">
        <v>19</v>
      </c>
      <c r="F30" s="18" t="s">
        <v>22</v>
      </c>
      <c r="G30" s="21">
        <v>642.42999999999995</v>
      </c>
    </row>
    <row r="31" spans="2:7" x14ac:dyDescent="0.25">
      <c r="B31" s="19">
        <v>41691</v>
      </c>
      <c r="C31" s="20">
        <v>1</v>
      </c>
      <c r="D31" s="18" t="s">
        <v>18</v>
      </c>
      <c r="E31" s="18" t="s">
        <v>19</v>
      </c>
      <c r="F31" s="18" t="s">
        <v>24</v>
      </c>
      <c r="G31" s="21">
        <v>952.24</v>
      </c>
    </row>
    <row r="32" spans="2:7" x14ac:dyDescent="0.25">
      <c r="B32" s="19">
        <v>41988</v>
      </c>
      <c r="C32" s="20">
        <v>4</v>
      </c>
      <c r="D32" s="18" t="s">
        <v>31</v>
      </c>
      <c r="E32" s="18" t="s">
        <v>28</v>
      </c>
      <c r="F32" s="18" t="s">
        <v>27</v>
      </c>
      <c r="G32" s="21">
        <v>1591.12</v>
      </c>
    </row>
    <row r="33" spans="2:7" x14ac:dyDescent="0.25">
      <c r="B33" s="19">
        <v>41525</v>
      </c>
      <c r="C33" s="20">
        <v>3</v>
      </c>
      <c r="D33" s="18" t="s">
        <v>25</v>
      </c>
      <c r="E33" s="18" t="s">
        <v>26</v>
      </c>
      <c r="F33" s="18" t="s">
        <v>32</v>
      </c>
      <c r="G33" s="21">
        <v>218.06</v>
      </c>
    </row>
    <row r="34" spans="2:7" x14ac:dyDescent="0.25">
      <c r="B34" s="19">
        <v>41875</v>
      </c>
      <c r="C34" s="20">
        <v>3</v>
      </c>
      <c r="D34" s="18" t="s">
        <v>9</v>
      </c>
      <c r="E34" s="18" t="s">
        <v>26</v>
      </c>
      <c r="F34" s="18" t="s">
        <v>32</v>
      </c>
      <c r="G34" s="21">
        <v>347.19</v>
      </c>
    </row>
    <row r="35" spans="2:7" x14ac:dyDescent="0.25">
      <c r="B35" s="19">
        <v>41466</v>
      </c>
      <c r="C35" s="20">
        <v>3</v>
      </c>
      <c r="D35" s="18" t="s">
        <v>25</v>
      </c>
      <c r="E35" s="18" t="s">
        <v>26</v>
      </c>
      <c r="F35" s="18" t="s">
        <v>30</v>
      </c>
      <c r="G35" s="21">
        <v>1867</v>
      </c>
    </row>
    <row r="36" spans="2:7" x14ac:dyDescent="0.25">
      <c r="B36" s="19">
        <v>41443</v>
      </c>
      <c r="C36" s="20">
        <v>2</v>
      </c>
      <c r="D36" s="18" t="s">
        <v>25</v>
      </c>
      <c r="E36" s="18" t="s">
        <v>26</v>
      </c>
      <c r="F36" s="18" t="s">
        <v>20</v>
      </c>
      <c r="G36" s="21">
        <v>119.97</v>
      </c>
    </row>
    <row r="37" spans="2:7" x14ac:dyDescent="0.25">
      <c r="B37" s="19">
        <v>41913</v>
      </c>
      <c r="C37" s="20">
        <v>4</v>
      </c>
      <c r="D37" s="18" t="s">
        <v>9</v>
      </c>
      <c r="E37" s="18" t="s">
        <v>26</v>
      </c>
      <c r="F37" s="18" t="s">
        <v>29</v>
      </c>
      <c r="G37" s="21">
        <v>319.12</v>
      </c>
    </row>
    <row r="38" spans="2:7" x14ac:dyDescent="0.25">
      <c r="B38" s="19">
        <v>41951</v>
      </c>
      <c r="C38" s="20">
        <v>4</v>
      </c>
      <c r="D38" s="18" t="s">
        <v>8</v>
      </c>
      <c r="E38" s="18" t="s">
        <v>23</v>
      </c>
      <c r="F38" s="18" t="s">
        <v>27</v>
      </c>
      <c r="G38" s="21">
        <v>1301.71</v>
      </c>
    </row>
    <row r="39" spans="2:7" x14ac:dyDescent="0.25">
      <c r="B39" s="19">
        <v>41941</v>
      </c>
      <c r="C39" s="20">
        <v>4</v>
      </c>
      <c r="D39" s="18" t="s">
        <v>31</v>
      </c>
      <c r="E39" s="18" t="s">
        <v>28</v>
      </c>
      <c r="F39" s="18" t="s">
        <v>20</v>
      </c>
      <c r="G39" s="21">
        <v>229.14</v>
      </c>
    </row>
    <row r="40" spans="2:7" x14ac:dyDescent="0.25">
      <c r="B40" s="19">
        <v>41909</v>
      </c>
      <c r="C40" s="20">
        <v>3</v>
      </c>
      <c r="D40" s="18" t="s">
        <v>11</v>
      </c>
      <c r="E40" s="18" t="s">
        <v>23</v>
      </c>
      <c r="F40" s="18" t="s">
        <v>22</v>
      </c>
      <c r="G40" s="21">
        <v>389.25</v>
      </c>
    </row>
    <row r="41" spans="2:7" x14ac:dyDescent="0.25">
      <c r="B41" s="19">
        <v>41551</v>
      </c>
      <c r="C41" s="20">
        <v>4</v>
      </c>
      <c r="D41" s="18" t="s">
        <v>10</v>
      </c>
      <c r="E41" s="18" t="s">
        <v>28</v>
      </c>
      <c r="F41" s="18" t="s">
        <v>30</v>
      </c>
      <c r="G41" s="21">
        <v>1577.18</v>
      </c>
    </row>
    <row r="42" spans="2:7" x14ac:dyDescent="0.25">
      <c r="B42" s="19">
        <v>41341</v>
      </c>
      <c r="C42" s="20">
        <v>1</v>
      </c>
      <c r="D42" s="18" t="s">
        <v>18</v>
      </c>
      <c r="E42" s="18" t="s">
        <v>19</v>
      </c>
      <c r="F42" s="18" t="s">
        <v>29</v>
      </c>
      <c r="G42" s="21">
        <v>3028.88</v>
      </c>
    </row>
    <row r="43" spans="2:7" x14ac:dyDescent="0.25">
      <c r="B43" s="19">
        <v>41902</v>
      </c>
      <c r="C43" s="20">
        <v>3</v>
      </c>
      <c r="D43" s="18" t="s">
        <v>10</v>
      </c>
      <c r="E43" s="18" t="s">
        <v>28</v>
      </c>
      <c r="F43" s="18" t="s">
        <v>33</v>
      </c>
      <c r="G43" s="21">
        <v>2532.62</v>
      </c>
    </row>
    <row r="44" spans="2:7" x14ac:dyDescent="0.25">
      <c r="B44" s="19">
        <v>41363</v>
      </c>
      <c r="C44" s="20">
        <v>1</v>
      </c>
      <c r="D44" s="18" t="s">
        <v>25</v>
      </c>
      <c r="E44" s="18" t="s">
        <v>26</v>
      </c>
      <c r="F44" s="18" t="s">
        <v>20</v>
      </c>
      <c r="G44" s="21">
        <v>130.04</v>
      </c>
    </row>
    <row r="45" spans="2:7" x14ac:dyDescent="0.25">
      <c r="B45" s="19">
        <v>41387</v>
      </c>
      <c r="C45" s="20">
        <v>2</v>
      </c>
      <c r="D45" s="18" t="s">
        <v>31</v>
      </c>
      <c r="E45" s="18" t="s">
        <v>28</v>
      </c>
      <c r="F45" s="18" t="s">
        <v>30</v>
      </c>
      <c r="G45" s="21">
        <v>246.57</v>
      </c>
    </row>
    <row r="46" spans="2:7" x14ac:dyDescent="0.25">
      <c r="B46" s="19">
        <v>41783</v>
      </c>
      <c r="C46" s="20">
        <v>2</v>
      </c>
      <c r="D46" s="18" t="s">
        <v>25</v>
      </c>
      <c r="E46" s="18" t="s">
        <v>26</v>
      </c>
      <c r="F46" s="18" t="s">
        <v>30</v>
      </c>
      <c r="G46" s="21">
        <v>2850.7</v>
      </c>
    </row>
    <row r="47" spans="2:7" x14ac:dyDescent="0.25">
      <c r="B47" s="19">
        <v>41983</v>
      </c>
      <c r="C47" s="20">
        <v>4</v>
      </c>
      <c r="D47" s="18" t="s">
        <v>9</v>
      </c>
      <c r="E47" s="18" t="s">
        <v>26</v>
      </c>
      <c r="F47" s="18" t="s">
        <v>22</v>
      </c>
      <c r="G47" s="21">
        <v>615.6</v>
      </c>
    </row>
    <row r="48" spans="2:7" x14ac:dyDescent="0.25">
      <c r="B48" s="19">
        <v>41681</v>
      </c>
      <c r="C48" s="20">
        <v>1</v>
      </c>
      <c r="D48" s="18" t="s">
        <v>9</v>
      </c>
      <c r="E48" s="18" t="s">
        <v>26</v>
      </c>
      <c r="F48" s="18" t="s">
        <v>30</v>
      </c>
      <c r="G48" s="21">
        <v>2396.1799999999998</v>
      </c>
    </row>
    <row r="49" spans="2:7" x14ac:dyDescent="0.25">
      <c r="B49" s="19">
        <v>41816</v>
      </c>
      <c r="C49" s="20">
        <v>2</v>
      </c>
      <c r="D49" s="18" t="s">
        <v>10</v>
      </c>
      <c r="E49" s="18" t="s">
        <v>28</v>
      </c>
      <c r="F49" s="18" t="s">
        <v>30</v>
      </c>
      <c r="G49" s="21">
        <v>2408.0500000000002</v>
      </c>
    </row>
    <row r="50" spans="2:7" x14ac:dyDescent="0.25">
      <c r="B50" s="19">
        <v>41851</v>
      </c>
      <c r="C50" s="20">
        <v>3</v>
      </c>
      <c r="D50" s="18" t="s">
        <v>31</v>
      </c>
      <c r="E50" s="18" t="s">
        <v>28</v>
      </c>
      <c r="F50" s="18" t="s">
        <v>27</v>
      </c>
      <c r="G50" s="21">
        <v>1084.23</v>
      </c>
    </row>
    <row r="51" spans="2:7" x14ac:dyDescent="0.25">
      <c r="B51" s="19">
        <v>41558</v>
      </c>
      <c r="C51" s="20">
        <v>4</v>
      </c>
      <c r="D51" s="18" t="s">
        <v>21</v>
      </c>
      <c r="E51" s="18" t="s">
        <v>19</v>
      </c>
      <c r="F51" s="18" t="s">
        <v>30</v>
      </c>
      <c r="G51" s="21">
        <v>1504.43</v>
      </c>
    </row>
    <row r="52" spans="2:7" x14ac:dyDescent="0.25">
      <c r="B52" s="19">
        <v>41993</v>
      </c>
      <c r="C52" s="20">
        <v>4</v>
      </c>
      <c r="D52" s="18" t="s">
        <v>11</v>
      </c>
      <c r="E52" s="18" t="s">
        <v>23</v>
      </c>
      <c r="F52" s="18" t="s">
        <v>30</v>
      </c>
      <c r="G52" s="21">
        <v>1644.89</v>
      </c>
    </row>
    <row r="53" spans="2:7" x14ac:dyDescent="0.25">
      <c r="B53" s="19">
        <v>41555</v>
      </c>
      <c r="C53" s="20">
        <v>4</v>
      </c>
      <c r="D53" s="18" t="s">
        <v>9</v>
      </c>
      <c r="E53" s="18" t="s">
        <v>26</v>
      </c>
      <c r="F53" s="18" t="s">
        <v>30</v>
      </c>
      <c r="G53" s="21">
        <v>2209.9</v>
      </c>
    </row>
    <row r="54" spans="2:7" x14ac:dyDescent="0.25">
      <c r="B54" s="19">
        <v>41932</v>
      </c>
      <c r="C54" s="20">
        <v>4</v>
      </c>
      <c r="D54" s="18" t="s">
        <v>31</v>
      </c>
      <c r="E54" s="18" t="s">
        <v>28</v>
      </c>
      <c r="F54" s="18" t="s">
        <v>32</v>
      </c>
      <c r="G54" s="21">
        <v>817.91</v>
      </c>
    </row>
    <row r="55" spans="2:7" x14ac:dyDescent="0.25">
      <c r="B55" s="19">
        <v>41501</v>
      </c>
      <c r="C55" s="20">
        <v>3</v>
      </c>
      <c r="D55" s="18" t="s">
        <v>11</v>
      </c>
      <c r="E55" s="18" t="s">
        <v>23</v>
      </c>
      <c r="F55" s="18" t="s">
        <v>32</v>
      </c>
      <c r="G55" s="21">
        <v>572.27</v>
      </c>
    </row>
    <row r="56" spans="2:7" x14ac:dyDescent="0.25">
      <c r="B56" s="19">
        <v>41704</v>
      </c>
      <c r="C56" s="20">
        <v>1</v>
      </c>
      <c r="D56" s="18" t="s">
        <v>21</v>
      </c>
      <c r="E56" s="18" t="s">
        <v>19</v>
      </c>
      <c r="F56" s="18" t="s">
        <v>30</v>
      </c>
      <c r="G56" s="21">
        <v>1003.37</v>
      </c>
    </row>
    <row r="57" spans="2:7" x14ac:dyDescent="0.25">
      <c r="B57" s="19">
        <v>41753</v>
      </c>
      <c r="C57" s="20">
        <v>2</v>
      </c>
      <c r="D57" s="18" t="s">
        <v>18</v>
      </c>
      <c r="E57" s="18" t="s">
        <v>19</v>
      </c>
      <c r="F57" s="18" t="s">
        <v>29</v>
      </c>
      <c r="G57" s="21">
        <v>3792.66</v>
      </c>
    </row>
    <row r="58" spans="2:7" x14ac:dyDescent="0.25">
      <c r="B58" s="19">
        <v>41422</v>
      </c>
      <c r="C58" s="20">
        <v>2</v>
      </c>
      <c r="D58" s="18" t="s">
        <v>8</v>
      </c>
      <c r="E58" s="18" t="s">
        <v>23</v>
      </c>
      <c r="F58" s="18" t="s">
        <v>30</v>
      </c>
      <c r="G58" s="21">
        <v>2233.02</v>
      </c>
    </row>
    <row r="59" spans="2:7" x14ac:dyDescent="0.25">
      <c r="B59" s="19">
        <v>41531</v>
      </c>
      <c r="C59" s="20">
        <v>3</v>
      </c>
      <c r="D59" s="18" t="s">
        <v>21</v>
      </c>
      <c r="E59" s="18" t="s">
        <v>19</v>
      </c>
      <c r="F59" s="18" t="s">
        <v>20</v>
      </c>
      <c r="G59" s="21">
        <v>439.26</v>
      </c>
    </row>
    <row r="60" spans="2:7" x14ac:dyDescent="0.25">
      <c r="B60" s="19">
        <v>41678</v>
      </c>
      <c r="C60" s="20">
        <v>1</v>
      </c>
      <c r="D60" s="18" t="s">
        <v>25</v>
      </c>
      <c r="E60" s="18" t="s">
        <v>26</v>
      </c>
      <c r="F60" s="18" t="s">
        <v>30</v>
      </c>
      <c r="G60" s="21">
        <v>1676.77</v>
      </c>
    </row>
    <row r="61" spans="2:7" x14ac:dyDescent="0.25">
      <c r="B61" s="19">
        <v>41802</v>
      </c>
      <c r="C61" s="20">
        <v>2</v>
      </c>
      <c r="D61" s="18" t="s">
        <v>21</v>
      </c>
      <c r="E61" s="18" t="s">
        <v>19</v>
      </c>
      <c r="F61" s="18" t="s">
        <v>32</v>
      </c>
      <c r="G61" s="21">
        <v>911.51</v>
      </c>
    </row>
    <row r="62" spans="2:7" x14ac:dyDescent="0.25">
      <c r="B62" s="19">
        <v>41448</v>
      </c>
      <c r="C62" s="20">
        <v>2</v>
      </c>
      <c r="D62" s="18" t="s">
        <v>11</v>
      </c>
      <c r="E62" s="18" t="s">
        <v>23</v>
      </c>
      <c r="F62" s="18" t="s">
        <v>30</v>
      </c>
      <c r="G62" s="21">
        <v>2381.4899999999998</v>
      </c>
    </row>
    <row r="63" spans="2:7" x14ac:dyDescent="0.25">
      <c r="B63" s="19">
        <v>41392</v>
      </c>
      <c r="C63" s="20">
        <v>2</v>
      </c>
      <c r="D63" s="18" t="s">
        <v>31</v>
      </c>
      <c r="E63" s="18" t="s">
        <v>28</v>
      </c>
      <c r="F63" s="18" t="s">
        <v>27</v>
      </c>
      <c r="G63" s="21">
        <v>449.38</v>
      </c>
    </row>
    <row r="64" spans="2:7" x14ac:dyDescent="0.25">
      <c r="B64" s="19">
        <v>41454</v>
      </c>
      <c r="C64" s="20">
        <v>2</v>
      </c>
      <c r="D64" s="18" t="s">
        <v>8</v>
      </c>
      <c r="E64" s="18" t="s">
        <v>23</v>
      </c>
      <c r="F64" s="18" t="s">
        <v>29</v>
      </c>
      <c r="G64" s="21">
        <v>3206.5</v>
      </c>
    </row>
    <row r="65" spans="2:7" x14ac:dyDescent="0.25">
      <c r="B65" s="19">
        <v>41922</v>
      </c>
      <c r="C65" s="20">
        <v>4</v>
      </c>
      <c r="D65" s="18" t="s">
        <v>25</v>
      </c>
      <c r="E65" s="18" t="s">
        <v>26</v>
      </c>
      <c r="F65" s="18" t="s">
        <v>30</v>
      </c>
      <c r="G65" s="21">
        <v>1693.69</v>
      </c>
    </row>
    <row r="66" spans="2:7" x14ac:dyDescent="0.25">
      <c r="B66" s="19">
        <v>41613</v>
      </c>
      <c r="C66" s="20">
        <v>4</v>
      </c>
      <c r="D66" s="18" t="s">
        <v>21</v>
      </c>
      <c r="E66" s="18" t="s">
        <v>19</v>
      </c>
      <c r="F66" s="18" t="s">
        <v>32</v>
      </c>
      <c r="G66" s="21">
        <v>1957.73</v>
      </c>
    </row>
    <row r="67" spans="2:7" x14ac:dyDescent="0.25">
      <c r="B67" s="19">
        <v>41618</v>
      </c>
      <c r="C67" s="20">
        <v>4</v>
      </c>
      <c r="D67" s="18" t="s">
        <v>8</v>
      </c>
      <c r="E67" s="18" t="s">
        <v>23</v>
      </c>
      <c r="F67" s="18" t="s">
        <v>24</v>
      </c>
      <c r="G67" s="21">
        <v>1290.67</v>
      </c>
    </row>
    <row r="68" spans="2:7" x14ac:dyDescent="0.25">
      <c r="B68" s="19">
        <v>41284</v>
      </c>
      <c r="C68" s="20">
        <v>1</v>
      </c>
      <c r="D68" s="18" t="s">
        <v>18</v>
      </c>
      <c r="E68" s="18" t="s">
        <v>19</v>
      </c>
      <c r="F68" s="18" t="s">
        <v>32</v>
      </c>
      <c r="G68" s="21">
        <v>1907</v>
      </c>
    </row>
    <row r="69" spans="2:7" x14ac:dyDescent="0.25">
      <c r="B69" s="19">
        <v>41342</v>
      </c>
      <c r="C69" s="20">
        <v>1</v>
      </c>
      <c r="D69" s="18" t="s">
        <v>21</v>
      </c>
      <c r="E69" s="18" t="s">
        <v>19</v>
      </c>
      <c r="F69" s="18" t="s">
        <v>30</v>
      </c>
      <c r="G69" s="21">
        <v>1158.8699999999999</v>
      </c>
    </row>
    <row r="70" spans="2:7" x14ac:dyDescent="0.25">
      <c r="B70" s="19">
        <v>41581</v>
      </c>
      <c r="C70" s="20">
        <v>4</v>
      </c>
      <c r="D70" s="18" t="s">
        <v>9</v>
      </c>
      <c r="E70" s="18" t="s">
        <v>26</v>
      </c>
      <c r="F70" s="18" t="s">
        <v>30</v>
      </c>
      <c r="G70" s="21">
        <v>2807.97</v>
      </c>
    </row>
    <row r="71" spans="2:7" x14ac:dyDescent="0.25">
      <c r="B71" s="19">
        <v>41277</v>
      </c>
      <c r="C71" s="20">
        <v>1</v>
      </c>
      <c r="D71" s="18" t="s">
        <v>11</v>
      </c>
      <c r="E71" s="18" t="s">
        <v>23</v>
      </c>
      <c r="F71" s="18" t="s">
        <v>29</v>
      </c>
      <c r="G71" s="21">
        <v>1073.46</v>
      </c>
    </row>
    <row r="72" spans="2:7" x14ac:dyDescent="0.25">
      <c r="B72" s="19">
        <v>41804</v>
      </c>
      <c r="C72" s="20">
        <v>2</v>
      </c>
      <c r="D72" s="18" t="s">
        <v>21</v>
      </c>
      <c r="E72" s="18" t="s">
        <v>19</v>
      </c>
      <c r="F72" s="18" t="s">
        <v>20</v>
      </c>
      <c r="G72" s="21">
        <v>622.66999999999996</v>
      </c>
    </row>
    <row r="73" spans="2:7" x14ac:dyDescent="0.25">
      <c r="B73" s="19">
        <v>41972</v>
      </c>
      <c r="C73" s="20">
        <v>4</v>
      </c>
      <c r="D73" s="18" t="s">
        <v>8</v>
      </c>
      <c r="E73" s="18" t="s">
        <v>23</v>
      </c>
      <c r="F73" s="18" t="s">
        <v>29</v>
      </c>
      <c r="G73" s="21">
        <v>2629.12</v>
      </c>
    </row>
    <row r="74" spans="2:7" x14ac:dyDescent="0.25">
      <c r="B74" s="19">
        <v>41853</v>
      </c>
      <c r="C74" s="20">
        <v>3</v>
      </c>
      <c r="D74" s="18" t="s">
        <v>18</v>
      </c>
      <c r="E74" s="18" t="s">
        <v>19</v>
      </c>
      <c r="F74" s="18" t="s">
        <v>33</v>
      </c>
      <c r="G74" s="21">
        <v>2731.82</v>
      </c>
    </row>
    <row r="75" spans="2:7" x14ac:dyDescent="0.25">
      <c r="B75" s="19">
        <v>41639</v>
      </c>
      <c r="C75" s="20">
        <v>4</v>
      </c>
      <c r="D75" s="18" t="s">
        <v>21</v>
      </c>
      <c r="E75" s="18" t="s">
        <v>19</v>
      </c>
      <c r="F75" s="18" t="s">
        <v>32</v>
      </c>
      <c r="G75" s="21">
        <v>1519.23</v>
      </c>
    </row>
    <row r="76" spans="2:7" x14ac:dyDescent="0.25">
      <c r="B76" s="19">
        <v>41586</v>
      </c>
      <c r="C76" s="20">
        <v>4</v>
      </c>
      <c r="D76" s="18" t="s">
        <v>25</v>
      </c>
      <c r="E76" s="18" t="s">
        <v>26</v>
      </c>
      <c r="F76" s="18" t="s">
        <v>27</v>
      </c>
      <c r="G76" s="21">
        <v>995.56</v>
      </c>
    </row>
    <row r="77" spans="2:7" x14ac:dyDescent="0.25">
      <c r="B77" s="19">
        <v>41793</v>
      </c>
      <c r="C77" s="20">
        <v>2</v>
      </c>
      <c r="D77" s="18" t="s">
        <v>31</v>
      </c>
      <c r="E77" s="18" t="s">
        <v>28</v>
      </c>
      <c r="F77" s="18" t="s">
        <v>24</v>
      </c>
      <c r="G77" s="21">
        <v>914.54</v>
      </c>
    </row>
    <row r="78" spans="2:7" x14ac:dyDescent="0.25">
      <c r="B78" s="19">
        <v>41826</v>
      </c>
      <c r="C78" s="20">
        <v>3</v>
      </c>
      <c r="D78" s="18" t="s">
        <v>10</v>
      </c>
      <c r="E78" s="18" t="s">
        <v>28</v>
      </c>
      <c r="F78" s="18" t="s">
        <v>27</v>
      </c>
      <c r="G78" s="21">
        <v>1951.9</v>
      </c>
    </row>
    <row r="79" spans="2:7" x14ac:dyDescent="0.25">
      <c r="B79" s="19">
        <v>41429</v>
      </c>
      <c r="C79" s="20">
        <v>2</v>
      </c>
      <c r="D79" s="18" t="s">
        <v>10</v>
      </c>
      <c r="E79" s="18" t="s">
        <v>28</v>
      </c>
      <c r="F79" s="18" t="s">
        <v>22</v>
      </c>
      <c r="G79" s="21">
        <v>806.53</v>
      </c>
    </row>
    <row r="80" spans="2:7" x14ac:dyDescent="0.25">
      <c r="B80" s="19">
        <v>41617</v>
      </c>
      <c r="C80" s="20">
        <v>4</v>
      </c>
      <c r="D80" s="18" t="s">
        <v>10</v>
      </c>
      <c r="E80" s="18" t="s">
        <v>28</v>
      </c>
      <c r="F80" s="18" t="s">
        <v>24</v>
      </c>
      <c r="G80" s="21">
        <v>1243.1500000000001</v>
      </c>
    </row>
    <row r="81" spans="2:7" x14ac:dyDescent="0.25">
      <c r="B81" s="19">
        <v>41826</v>
      </c>
      <c r="C81" s="20">
        <v>3</v>
      </c>
      <c r="D81" s="18" t="s">
        <v>8</v>
      </c>
      <c r="E81" s="18" t="s">
        <v>23</v>
      </c>
      <c r="F81" s="18" t="s">
        <v>22</v>
      </c>
      <c r="G81" s="21">
        <v>1781.22</v>
      </c>
    </row>
    <row r="82" spans="2:7" x14ac:dyDescent="0.25">
      <c r="B82" s="19">
        <v>41935</v>
      </c>
      <c r="C82" s="20">
        <v>4</v>
      </c>
      <c r="D82" s="18" t="s">
        <v>10</v>
      </c>
      <c r="E82" s="18" t="s">
        <v>28</v>
      </c>
      <c r="F82" s="18" t="s">
        <v>22</v>
      </c>
      <c r="G82" s="21">
        <v>1593.28</v>
      </c>
    </row>
    <row r="83" spans="2:7" x14ac:dyDescent="0.25">
      <c r="B83" s="19">
        <v>41291</v>
      </c>
      <c r="C83" s="20">
        <v>1</v>
      </c>
      <c r="D83" s="18" t="s">
        <v>31</v>
      </c>
      <c r="E83" s="18" t="s">
        <v>28</v>
      </c>
      <c r="F83" s="18" t="s">
        <v>33</v>
      </c>
      <c r="G83" s="21">
        <v>2526.54</v>
      </c>
    </row>
    <row r="84" spans="2:7" x14ac:dyDescent="0.25">
      <c r="B84" s="19">
        <v>41577</v>
      </c>
      <c r="C84" s="20">
        <v>4</v>
      </c>
      <c r="D84" s="18" t="s">
        <v>11</v>
      </c>
      <c r="E84" s="18" t="s">
        <v>23</v>
      </c>
      <c r="F84" s="18" t="s">
        <v>33</v>
      </c>
      <c r="G84" s="21">
        <v>818.46</v>
      </c>
    </row>
    <row r="85" spans="2:7" x14ac:dyDescent="0.25">
      <c r="B85" s="19">
        <v>41614</v>
      </c>
      <c r="C85" s="20">
        <v>4</v>
      </c>
      <c r="D85" s="18" t="s">
        <v>18</v>
      </c>
      <c r="E85" s="18" t="s">
        <v>19</v>
      </c>
      <c r="F85" s="18" t="s">
        <v>24</v>
      </c>
      <c r="G85" s="21">
        <v>1143.33</v>
      </c>
    </row>
    <row r="86" spans="2:7" x14ac:dyDescent="0.25">
      <c r="B86" s="19">
        <v>41708</v>
      </c>
      <c r="C86" s="20">
        <v>1</v>
      </c>
      <c r="D86" s="18" t="s">
        <v>31</v>
      </c>
      <c r="E86" s="18" t="s">
        <v>28</v>
      </c>
      <c r="F86" s="18" t="s">
        <v>29</v>
      </c>
      <c r="G86" s="21">
        <v>218.88</v>
      </c>
    </row>
    <row r="87" spans="2:7" x14ac:dyDescent="0.25">
      <c r="B87" s="19">
        <v>41629</v>
      </c>
      <c r="C87" s="20">
        <v>4</v>
      </c>
      <c r="D87" s="18" t="s">
        <v>25</v>
      </c>
      <c r="E87" s="18" t="s">
        <v>26</v>
      </c>
      <c r="F87" s="18" t="s">
        <v>33</v>
      </c>
      <c r="G87" s="21">
        <v>1999.73</v>
      </c>
    </row>
    <row r="88" spans="2:7" x14ac:dyDescent="0.25">
      <c r="B88" s="19">
        <v>41957</v>
      </c>
      <c r="C88" s="20">
        <v>4</v>
      </c>
      <c r="D88" s="18" t="s">
        <v>18</v>
      </c>
      <c r="E88" s="18" t="s">
        <v>19</v>
      </c>
      <c r="F88" s="18" t="s">
        <v>30</v>
      </c>
      <c r="G88" s="21">
        <v>2526.25</v>
      </c>
    </row>
    <row r="89" spans="2:7" x14ac:dyDescent="0.25">
      <c r="B89" s="19">
        <v>41341</v>
      </c>
      <c r="C89" s="20">
        <v>1</v>
      </c>
      <c r="D89" s="18" t="s">
        <v>18</v>
      </c>
      <c r="E89" s="18" t="s">
        <v>19</v>
      </c>
      <c r="F89" s="18" t="s">
        <v>32</v>
      </c>
      <c r="G89" s="21">
        <v>1720.81</v>
      </c>
    </row>
    <row r="90" spans="2:7" x14ac:dyDescent="0.25">
      <c r="B90" s="19">
        <v>41875</v>
      </c>
      <c r="C90" s="20">
        <v>3</v>
      </c>
      <c r="D90" s="18" t="s">
        <v>31</v>
      </c>
      <c r="E90" s="18" t="s">
        <v>28</v>
      </c>
      <c r="F90" s="18" t="s">
        <v>30</v>
      </c>
      <c r="G90" s="21">
        <v>1091.58</v>
      </c>
    </row>
    <row r="91" spans="2:7" x14ac:dyDescent="0.25">
      <c r="B91" s="19">
        <v>41400</v>
      </c>
      <c r="C91" s="20">
        <v>2</v>
      </c>
      <c r="D91" s="18" t="s">
        <v>10</v>
      </c>
      <c r="E91" s="18" t="s">
        <v>28</v>
      </c>
      <c r="F91" s="18" t="s">
        <v>22</v>
      </c>
      <c r="G91" s="21">
        <v>724.91</v>
      </c>
    </row>
    <row r="92" spans="2:7" x14ac:dyDescent="0.25">
      <c r="B92" s="19">
        <v>41295</v>
      </c>
      <c r="C92" s="20">
        <v>1</v>
      </c>
      <c r="D92" s="18" t="s">
        <v>31</v>
      </c>
      <c r="E92" s="18" t="s">
        <v>28</v>
      </c>
      <c r="F92" s="18" t="s">
        <v>32</v>
      </c>
      <c r="G92" s="21">
        <v>866.09</v>
      </c>
    </row>
    <row r="93" spans="2:7" x14ac:dyDescent="0.25">
      <c r="B93" s="19">
        <v>41473</v>
      </c>
      <c r="C93" s="20">
        <v>3</v>
      </c>
      <c r="D93" s="18" t="s">
        <v>31</v>
      </c>
      <c r="E93" s="18" t="s">
        <v>28</v>
      </c>
      <c r="F93" s="18" t="s">
        <v>33</v>
      </c>
      <c r="G93" s="21">
        <v>1722.87</v>
      </c>
    </row>
    <row r="94" spans="2:7" x14ac:dyDescent="0.25">
      <c r="B94" s="19">
        <v>41911</v>
      </c>
      <c r="C94" s="20">
        <v>3</v>
      </c>
      <c r="D94" s="18" t="s">
        <v>21</v>
      </c>
      <c r="E94" s="18" t="s">
        <v>19</v>
      </c>
      <c r="F94" s="18" t="s">
        <v>22</v>
      </c>
      <c r="G94" s="21">
        <v>1773.4</v>
      </c>
    </row>
    <row r="95" spans="2:7" x14ac:dyDescent="0.25">
      <c r="B95" s="19">
        <v>41321</v>
      </c>
      <c r="C95" s="20">
        <v>1</v>
      </c>
      <c r="D95" s="18" t="s">
        <v>8</v>
      </c>
      <c r="E95" s="18" t="s">
        <v>23</v>
      </c>
      <c r="F95" s="18" t="s">
        <v>20</v>
      </c>
      <c r="G95" s="21">
        <v>767.04</v>
      </c>
    </row>
    <row r="96" spans="2:7" x14ac:dyDescent="0.25">
      <c r="B96" s="19">
        <v>41650</v>
      </c>
      <c r="C96" s="20">
        <v>1</v>
      </c>
      <c r="D96" s="18" t="s">
        <v>8</v>
      </c>
      <c r="E96" s="18" t="s">
        <v>23</v>
      </c>
      <c r="F96" s="18" t="s">
        <v>29</v>
      </c>
      <c r="G96" s="21">
        <v>812.06</v>
      </c>
    </row>
    <row r="97" spans="2:7" x14ac:dyDescent="0.25">
      <c r="B97" s="19">
        <v>41418</v>
      </c>
      <c r="C97" s="20">
        <v>2</v>
      </c>
      <c r="D97" s="18" t="s">
        <v>10</v>
      </c>
      <c r="E97" s="18" t="s">
        <v>28</v>
      </c>
      <c r="F97" s="18" t="s">
        <v>20</v>
      </c>
      <c r="G97" s="21">
        <v>370</v>
      </c>
    </row>
    <row r="98" spans="2:7" x14ac:dyDescent="0.25">
      <c r="B98" s="19">
        <v>41651</v>
      </c>
      <c r="C98" s="20">
        <v>1</v>
      </c>
      <c r="D98" s="18" t="s">
        <v>10</v>
      </c>
      <c r="E98" s="18" t="s">
        <v>28</v>
      </c>
      <c r="F98" s="18" t="s">
        <v>32</v>
      </c>
      <c r="G98" s="21">
        <v>1905.4</v>
      </c>
    </row>
    <row r="99" spans="2:7" x14ac:dyDescent="0.25">
      <c r="B99" s="19">
        <v>41402</v>
      </c>
      <c r="C99" s="20">
        <v>2</v>
      </c>
      <c r="D99" s="18" t="s">
        <v>31</v>
      </c>
      <c r="E99" s="18" t="s">
        <v>28</v>
      </c>
      <c r="F99" s="18" t="s">
        <v>29</v>
      </c>
      <c r="G99" s="21">
        <v>377.44</v>
      </c>
    </row>
    <row r="100" spans="2:7" x14ac:dyDescent="0.25">
      <c r="B100" s="19">
        <v>41864</v>
      </c>
      <c r="C100" s="20">
        <v>3</v>
      </c>
      <c r="D100" s="18" t="s">
        <v>8</v>
      </c>
      <c r="E100" s="18" t="s">
        <v>23</v>
      </c>
      <c r="F100" s="18" t="s">
        <v>24</v>
      </c>
      <c r="G100" s="21">
        <v>1669.18</v>
      </c>
    </row>
    <row r="101" spans="2:7" x14ac:dyDescent="0.25">
      <c r="B101" s="19">
        <v>41906</v>
      </c>
      <c r="C101" s="20">
        <v>3</v>
      </c>
      <c r="D101" s="18" t="s">
        <v>18</v>
      </c>
      <c r="E101" s="18" t="s">
        <v>19</v>
      </c>
      <c r="F101" s="18" t="s">
        <v>22</v>
      </c>
      <c r="G101" s="21">
        <v>1868.6</v>
      </c>
    </row>
    <row r="102" spans="2:7" x14ac:dyDescent="0.25">
      <c r="B102" s="19">
        <v>41921</v>
      </c>
      <c r="C102" s="20">
        <v>4</v>
      </c>
      <c r="D102" s="18" t="s">
        <v>25</v>
      </c>
      <c r="E102" s="18" t="s">
        <v>26</v>
      </c>
      <c r="F102" s="18" t="s">
        <v>27</v>
      </c>
      <c r="G102" s="21">
        <v>1921.91</v>
      </c>
    </row>
    <row r="103" spans="2:7" x14ac:dyDescent="0.25">
      <c r="B103" s="19">
        <v>41742</v>
      </c>
      <c r="C103" s="20">
        <v>2</v>
      </c>
      <c r="D103" s="18" t="s">
        <v>21</v>
      </c>
      <c r="E103" s="18" t="s">
        <v>19</v>
      </c>
      <c r="F103" s="18" t="s">
        <v>30</v>
      </c>
      <c r="G103" s="21">
        <v>2120.23</v>
      </c>
    </row>
    <row r="104" spans="2:7" x14ac:dyDescent="0.25">
      <c r="B104" s="19">
        <v>41498</v>
      </c>
      <c r="C104" s="20">
        <v>3</v>
      </c>
      <c r="D104" s="18" t="s">
        <v>9</v>
      </c>
      <c r="E104" s="18" t="s">
        <v>26</v>
      </c>
      <c r="F104" s="18" t="s">
        <v>27</v>
      </c>
      <c r="G104" s="21">
        <v>584.02</v>
      </c>
    </row>
    <row r="105" spans="2:7" x14ac:dyDescent="0.25">
      <c r="B105" s="19">
        <v>41968</v>
      </c>
      <c r="C105" s="20">
        <v>4</v>
      </c>
      <c r="D105" s="18" t="s">
        <v>11</v>
      </c>
      <c r="E105" s="18" t="s">
        <v>23</v>
      </c>
      <c r="F105" s="18" t="s">
        <v>20</v>
      </c>
      <c r="G105" s="21">
        <v>778.02</v>
      </c>
    </row>
    <row r="106" spans="2:7" x14ac:dyDescent="0.25">
      <c r="B106" s="19">
        <v>41317</v>
      </c>
      <c r="C106" s="20">
        <v>1</v>
      </c>
      <c r="D106" s="18" t="s">
        <v>8</v>
      </c>
      <c r="E106" s="18" t="s">
        <v>23</v>
      </c>
      <c r="F106" s="18" t="s">
        <v>30</v>
      </c>
      <c r="G106" s="21">
        <v>1965.43</v>
      </c>
    </row>
    <row r="107" spans="2:7" x14ac:dyDescent="0.25">
      <c r="B107" s="19">
        <v>41847</v>
      </c>
      <c r="C107" s="20">
        <v>3</v>
      </c>
      <c r="D107" s="18" t="s">
        <v>9</v>
      </c>
      <c r="E107" s="18" t="s">
        <v>26</v>
      </c>
      <c r="F107" s="18" t="s">
        <v>29</v>
      </c>
      <c r="G107" s="21">
        <v>1354.8</v>
      </c>
    </row>
    <row r="108" spans="2:7" x14ac:dyDescent="0.25">
      <c r="B108" s="19">
        <v>41757</v>
      </c>
      <c r="C108" s="20">
        <v>2</v>
      </c>
      <c r="D108" s="18" t="s">
        <v>21</v>
      </c>
      <c r="E108" s="18" t="s">
        <v>19</v>
      </c>
      <c r="F108" s="18" t="s">
        <v>32</v>
      </c>
      <c r="G108" s="21">
        <v>439.05</v>
      </c>
    </row>
    <row r="109" spans="2:7" x14ac:dyDescent="0.25">
      <c r="B109" s="19">
        <v>41563</v>
      </c>
      <c r="C109" s="20">
        <v>4</v>
      </c>
      <c r="D109" s="18" t="s">
        <v>18</v>
      </c>
      <c r="E109" s="18" t="s">
        <v>19</v>
      </c>
      <c r="F109" s="18" t="s">
        <v>20</v>
      </c>
      <c r="G109" s="21">
        <v>434.17</v>
      </c>
    </row>
    <row r="110" spans="2:7" x14ac:dyDescent="0.25">
      <c r="B110" s="19">
        <v>41889</v>
      </c>
      <c r="C110" s="20">
        <v>3</v>
      </c>
      <c r="D110" s="18" t="s">
        <v>11</v>
      </c>
      <c r="E110" s="18" t="s">
        <v>23</v>
      </c>
      <c r="F110" s="18" t="s">
        <v>20</v>
      </c>
      <c r="G110" s="21">
        <v>205.61</v>
      </c>
    </row>
    <row r="111" spans="2:7" x14ac:dyDescent="0.25">
      <c r="B111" s="19">
        <v>41736</v>
      </c>
      <c r="C111" s="20">
        <v>2</v>
      </c>
      <c r="D111" s="18" t="s">
        <v>31</v>
      </c>
      <c r="E111" s="18" t="s">
        <v>28</v>
      </c>
      <c r="F111" s="18" t="s">
        <v>30</v>
      </c>
      <c r="G111" s="21">
        <v>1502.87</v>
      </c>
    </row>
    <row r="112" spans="2:7" x14ac:dyDescent="0.25">
      <c r="B112" s="19">
        <v>41786</v>
      </c>
      <c r="C112" s="20">
        <v>2</v>
      </c>
      <c r="D112" s="18" t="s">
        <v>21</v>
      </c>
      <c r="E112" s="18" t="s">
        <v>19</v>
      </c>
      <c r="F112" s="18" t="s">
        <v>30</v>
      </c>
      <c r="G112" s="21">
        <v>2132.06</v>
      </c>
    </row>
    <row r="113" spans="2:7" x14ac:dyDescent="0.25">
      <c r="B113" s="19">
        <v>41349</v>
      </c>
      <c r="C113" s="20">
        <v>1</v>
      </c>
      <c r="D113" s="18" t="s">
        <v>10</v>
      </c>
      <c r="E113" s="18" t="s">
        <v>28</v>
      </c>
      <c r="F113" s="18" t="s">
        <v>33</v>
      </c>
      <c r="G113" s="21">
        <v>2815.7</v>
      </c>
    </row>
    <row r="114" spans="2:7" x14ac:dyDescent="0.25">
      <c r="B114" s="19">
        <v>41773</v>
      </c>
      <c r="C114" s="20">
        <v>2</v>
      </c>
      <c r="D114" s="18" t="s">
        <v>11</v>
      </c>
      <c r="E114" s="18" t="s">
        <v>23</v>
      </c>
      <c r="F114" s="18" t="s">
        <v>20</v>
      </c>
      <c r="G114" s="21">
        <v>733.63</v>
      </c>
    </row>
    <row r="115" spans="2:7" x14ac:dyDescent="0.25">
      <c r="B115" s="19">
        <v>41821</v>
      </c>
      <c r="C115" s="20">
        <v>3</v>
      </c>
      <c r="D115" s="18" t="s">
        <v>8</v>
      </c>
      <c r="E115" s="18" t="s">
        <v>23</v>
      </c>
      <c r="F115" s="18" t="s">
        <v>32</v>
      </c>
      <c r="G115" s="21">
        <v>335.17</v>
      </c>
    </row>
    <row r="116" spans="2:7" x14ac:dyDescent="0.25">
      <c r="B116" s="19">
        <v>41785</v>
      </c>
      <c r="C116" s="20">
        <v>2</v>
      </c>
      <c r="D116" s="18" t="s">
        <v>9</v>
      </c>
      <c r="E116" s="18" t="s">
        <v>26</v>
      </c>
      <c r="F116" s="18" t="s">
        <v>29</v>
      </c>
      <c r="G116" s="21">
        <v>2037.02</v>
      </c>
    </row>
    <row r="117" spans="2:7" x14ac:dyDescent="0.25">
      <c r="B117" s="19">
        <v>41308</v>
      </c>
      <c r="C117" s="20">
        <v>1</v>
      </c>
      <c r="D117" s="18" t="s">
        <v>9</v>
      </c>
      <c r="E117" s="18" t="s">
        <v>26</v>
      </c>
      <c r="F117" s="18" t="s">
        <v>29</v>
      </c>
      <c r="G117" s="21">
        <v>692.4</v>
      </c>
    </row>
    <row r="118" spans="2:7" x14ac:dyDescent="0.25">
      <c r="B118" s="19">
        <v>41442</v>
      </c>
      <c r="C118" s="20">
        <v>2</v>
      </c>
      <c r="D118" s="18" t="s">
        <v>10</v>
      </c>
      <c r="E118" s="18" t="s">
        <v>28</v>
      </c>
      <c r="F118" s="18" t="s">
        <v>33</v>
      </c>
      <c r="G118" s="21">
        <v>2749.29</v>
      </c>
    </row>
    <row r="119" spans="2:7" x14ac:dyDescent="0.25">
      <c r="B119" s="19">
        <v>41541</v>
      </c>
      <c r="C119" s="20">
        <v>3</v>
      </c>
      <c r="D119" s="18" t="s">
        <v>25</v>
      </c>
      <c r="E119" s="18" t="s">
        <v>26</v>
      </c>
      <c r="F119" s="18" t="s">
        <v>30</v>
      </c>
      <c r="G119" s="21">
        <v>1294.82</v>
      </c>
    </row>
    <row r="120" spans="2:7" x14ac:dyDescent="0.25">
      <c r="B120" s="19">
        <v>41938</v>
      </c>
      <c r="C120" s="20">
        <v>4</v>
      </c>
      <c r="D120" s="18" t="s">
        <v>21</v>
      </c>
      <c r="E120" s="18" t="s">
        <v>19</v>
      </c>
      <c r="F120" s="18" t="s">
        <v>20</v>
      </c>
      <c r="G120" s="21">
        <v>464.78</v>
      </c>
    </row>
    <row r="121" spans="2:7" x14ac:dyDescent="0.25">
      <c r="B121" s="19">
        <v>41763</v>
      </c>
      <c r="C121" s="20">
        <v>2</v>
      </c>
      <c r="D121" s="18" t="s">
        <v>11</v>
      </c>
      <c r="E121" s="18" t="s">
        <v>23</v>
      </c>
      <c r="F121" s="18" t="s">
        <v>27</v>
      </c>
      <c r="G121" s="21">
        <v>452.51</v>
      </c>
    </row>
    <row r="122" spans="2:7" x14ac:dyDescent="0.25">
      <c r="B122" s="19">
        <v>41319</v>
      </c>
      <c r="C122" s="20">
        <v>1</v>
      </c>
      <c r="D122" s="18" t="s">
        <v>10</v>
      </c>
      <c r="E122" s="18" t="s">
        <v>28</v>
      </c>
      <c r="F122" s="18" t="s">
        <v>27</v>
      </c>
      <c r="G122" s="21">
        <v>708.59</v>
      </c>
    </row>
    <row r="123" spans="2:7" x14ac:dyDescent="0.25">
      <c r="B123" s="19">
        <v>41298</v>
      </c>
      <c r="C123" s="20">
        <v>1</v>
      </c>
      <c r="D123" s="18" t="s">
        <v>10</v>
      </c>
      <c r="E123" s="18" t="s">
        <v>28</v>
      </c>
      <c r="F123" s="18" t="s">
        <v>32</v>
      </c>
      <c r="G123" s="21">
        <v>795.71</v>
      </c>
    </row>
    <row r="124" spans="2:7" x14ac:dyDescent="0.25">
      <c r="B124" s="19">
        <v>41376</v>
      </c>
      <c r="C124" s="20">
        <v>2</v>
      </c>
      <c r="D124" s="18" t="s">
        <v>31</v>
      </c>
      <c r="E124" s="18" t="s">
        <v>28</v>
      </c>
      <c r="F124" s="18" t="s">
        <v>33</v>
      </c>
      <c r="G124" s="21">
        <v>1060.46</v>
      </c>
    </row>
    <row r="125" spans="2:7" x14ac:dyDescent="0.25">
      <c r="B125" s="19">
        <v>41991</v>
      </c>
      <c r="C125" s="20">
        <v>4</v>
      </c>
      <c r="D125" s="18" t="s">
        <v>11</v>
      </c>
      <c r="E125" s="18" t="s">
        <v>23</v>
      </c>
      <c r="F125" s="18" t="s">
        <v>29</v>
      </c>
      <c r="G125" s="21">
        <v>470.92</v>
      </c>
    </row>
    <row r="126" spans="2:7" x14ac:dyDescent="0.25">
      <c r="B126" s="19">
        <v>41942</v>
      </c>
      <c r="C126" s="20">
        <v>4</v>
      </c>
      <c r="D126" s="18" t="s">
        <v>9</v>
      </c>
      <c r="E126" s="18" t="s">
        <v>26</v>
      </c>
      <c r="F126" s="18" t="s">
        <v>30</v>
      </c>
      <c r="G126" s="21">
        <v>473.52</v>
      </c>
    </row>
    <row r="127" spans="2:7" x14ac:dyDescent="0.25">
      <c r="B127" s="19">
        <v>41465</v>
      </c>
      <c r="C127" s="20">
        <v>3</v>
      </c>
      <c r="D127" s="18" t="s">
        <v>10</v>
      </c>
      <c r="E127" s="18" t="s">
        <v>28</v>
      </c>
      <c r="F127" s="18" t="s">
        <v>24</v>
      </c>
      <c r="G127" s="21">
        <v>916.69</v>
      </c>
    </row>
    <row r="128" spans="2:7" x14ac:dyDescent="0.25">
      <c r="B128" s="19">
        <v>41948</v>
      </c>
      <c r="C128" s="20">
        <v>4</v>
      </c>
      <c r="D128" s="18" t="s">
        <v>31</v>
      </c>
      <c r="E128" s="18" t="s">
        <v>28</v>
      </c>
      <c r="F128" s="18" t="s">
        <v>32</v>
      </c>
      <c r="G128" s="21">
        <v>1364.45</v>
      </c>
    </row>
    <row r="129" spans="2:7" x14ac:dyDescent="0.25">
      <c r="B129" s="19">
        <v>41589</v>
      </c>
      <c r="C129" s="20">
        <v>4</v>
      </c>
      <c r="D129" s="18" t="s">
        <v>21</v>
      </c>
      <c r="E129" s="18" t="s">
        <v>19</v>
      </c>
      <c r="F129" s="18" t="s">
        <v>20</v>
      </c>
      <c r="G129" s="21">
        <v>708.12</v>
      </c>
    </row>
    <row r="130" spans="2:7" x14ac:dyDescent="0.25">
      <c r="B130" s="19">
        <v>41773</v>
      </c>
      <c r="C130" s="20">
        <v>2</v>
      </c>
      <c r="D130" s="18" t="s">
        <v>10</v>
      </c>
      <c r="E130" s="18" t="s">
        <v>28</v>
      </c>
      <c r="F130" s="18" t="s">
        <v>22</v>
      </c>
      <c r="G130" s="21">
        <v>1021.34</v>
      </c>
    </row>
    <row r="131" spans="2:7" x14ac:dyDescent="0.25">
      <c r="B131" s="19">
        <v>41518</v>
      </c>
      <c r="C131" s="20">
        <v>3</v>
      </c>
      <c r="D131" s="18" t="s">
        <v>18</v>
      </c>
      <c r="E131" s="18" t="s">
        <v>19</v>
      </c>
      <c r="F131" s="18" t="s">
        <v>22</v>
      </c>
      <c r="G131" s="21">
        <v>1583.42</v>
      </c>
    </row>
    <row r="132" spans="2:7" x14ac:dyDescent="0.25">
      <c r="B132" s="19">
        <v>41816</v>
      </c>
      <c r="C132" s="20">
        <v>2</v>
      </c>
      <c r="D132" s="18" t="s">
        <v>11</v>
      </c>
      <c r="E132" s="18" t="s">
        <v>23</v>
      </c>
      <c r="F132" s="18" t="s">
        <v>22</v>
      </c>
      <c r="G132" s="21">
        <v>1234.32</v>
      </c>
    </row>
    <row r="133" spans="2:7" x14ac:dyDescent="0.25">
      <c r="B133" s="19">
        <v>41740</v>
      </c>
      <c r="C133" s="20">
        <v>2</v>
      </c>
      <c r="D133" s="18" t="s">
        <v>31</v>
      </c>
      <c r="E133" s="18" t="s">
        <v>28</v>
      </c>
      <c r="F133" s="18" t="s">
        <v>29</v>
      </c>
      <c r="G133" s="21">
        <v>3962.52</v>
      </c>
    </row>
    <row r="134" spans="2:7" x14ac:dyDescent="0.25">
      <c r="B134" s="19">
        <v>41604</v>
      </c>
      <c r="C134" s="20">
        <v>4</v>
      </c>
      <c r="D134" s="18" t="s">
        <v>18</v>
      </c>
      <c r="E134" s="18" t="s">
        <v>19</v>
      </c>
      <c r="F134" s="18" t="s">
        <v>33</v>
      </c>
      <c r="G134" s="21">
        <v>384.44</v>
      </c>
    </row>
    <row r="135" spans="2:7" x14ac:dyDescent="0.25">
      <c r="B135" s="19">
        <v>41623</v>
      </c>
      <c r="C135" s="20">
        <v>4</v>
      </c>
      <c r="D135" s="18" t="s">
        <v>21</v>
      </c>
      <c r="E135" s="18" t="s">
        <v>19</v>
      </c>
      <c r="F135" s="18" t="s">
        <v>20</v>
      </c>
      <c r="G135" s="21">
        <v>351.12</v>
      </c>
    </row>
    <row r="136" spans="2:7" x14ac:dyDescent="0.25">
      <c r="B136" s="19">
        <v>41595</v>
      </c>
      <c r="C136" s="20">
        <v>4</v>
      </c>
      <c r="D136" s="18" t="s">
        <v>31</v>
      </c>
      <c r="E136" s="18" t="s">
        <v>28</v>
      </c>
      <c r="F136" s="18" t="s">
        <v>29</v>
      </c>
      <c r="G136" s="21">
        <v>3467.02</v>
      </c>
    </row>
    <row r="137" spans="2:7" x14ac:dyDescent="0.25">
      <c r="B137" s="19">
        <v>41562</v>
      </c>
      <c r="C137" s="20">
        <v>4</v>
      </c>
      <c r="D137" s="18" t="s">
        <v>25</v>
      </c>
      <c r="E137" s="18" t="s">
        <v>26</v>
      </c>
      <c r="F137" s="18" t="s">
        <v>29</v>
      </c>
      <c r="G137" s="21">
        <v>3283.82</v>
      </c>
    </row>
    <row r="138" spans="2:7" x14ac:dyDescent="0.25">
      <c r="B138" s="19">
        <v>41526</v>
      </c>
      <c r="C138" s="20">
        <v>3</v>
      </c>
      <c r="D138" s="18" t="s">
        <v>21</v>
      </c>
      <c r="E138" s="18" t="s">
        <v>19</v>
      </c>
      <c r="F138" s="18" t="s">
        <v>27</v>
      </c>
      <c r="G138" s="21">
        <v>218.45</v>
      </c>
    </row>
    <row r="139" spans="2:7" x14ac:dyDescent="0.25">
      <c r="B139" s="19">
        <v>41769</v>
      </c>
      <c r="C139" s="20">
        <v>2</v>
      </c>
      <c r="D139" s="18" t="s">
        <v>10</v>
      </c>
      <c r="E139" s="18" t="s">
        <v>28</v>
      </c>
      <c r="F139" s="18" t="s">
        <v>30</v>
      </c>
      <c r="G139" s="21">
        <v>1097.07</v>
      </c>
    </row>
    <row r="140" spans="2:7" x14ac:dyDescent="0.25">
      <c r="B140" s="19">
        <v>41805</v>
      </c>
      <c r="C140" s="20">
        <v>2</v>
      </c>
      <c r="D140" s="18" t="s">
        <v>25</v>
      </c>
      <c r="E140" s="18" t="s">
        <v>26</v>
      </c>
      <c r="F140" s="18" t="s">
        <v>22</v>
      </c>
      <c r="G140" s="21">
        <v>824.2</v>
      </c>
    </row>
    <row r="141" spans="2:7" x14ac:dyDescent="0.25">
      <c r="B141" s="19">
        <v>41771</v>
      </c>
      <c r="C141" s="20">
        <v>2</v>
      </c>
      <c r="D141" s="18" t="s">
        <v>8</v>
      </c>
      <c r="E141" s="18" t="s">
        <v>23</v>
      </c>
      <c r="F141" s="18" t="s">
        <v>30</v>
      </c>
      <c r="G141" s="21">
        <v>2505.56</v>
      </c>
    </row>
    <row r="142" spans="2:7" x14ac:dyDescent="0.25">
      <c r="B142" s="19">
        <v>41759</v>
      </c>
      <c r="C142" s="20">
        <v>2</v>
      </c>
      <c r="D142" s="18" t="s">
        <v>9</v>
      </c>
      <c r="E142" s="18" t="s">
        <v>26</v>
      </c>
      <c r="F142" s="18" t="s">
        <v>27</v>
      </c>
      <c r="G142" s="21">
        <v>446.43</v>
      </c>
    </row>
    <row r="143" spans="2:7" x14ac:dyDescent="0.25">
      <c r="B143" s="19">
        <v>41477</v>
      </c>
      <c r="C143" s="20">
        <v>3</v>
      </c>
      <c r="D143" s="18" t="s">
        <v>25</v>
      </c>
      <c r="E143" s="18" t="s">
        <v>26</v>
      </c>
      <c r="F143" s="18" t="s">
        <v>22</v>
      </c>
      <c r="G143" s="21">
        <v>237.77</v>
      </c>
    </row>
    <row r="144" spans="2:7" x14ac:dyDescent="0.25">
      <c r="B144" s="19">
        <v>41534</v>
      </c>
      <c r="C144" s="20">
        <v>3</v>
      </c>
      <c r="D144" s="18" t="s">
        <v>31</v>
      </c>
      <c r="E144" s="18" t="s">
        <v>28</v>
      </c>
      <c r="F144" s="18" t="s">
        <v>32</v>
      </c>
      <c r="G144" s="21">
        <v>1080.82</v>
      </c>
    </row>
    <row r="145" spans="2:7" x14ac:dyDescent="0.25">
      <c r="B145" s="19">
        <v>41844</v>
      </c>
      <c r="C145" s="20">
        <v>3</v>
      </c>
      <c r="D145" s="18" t="s">
        <v>9</v>
      </c>
      <c r="E145" s="18" t="s">
        <v>26</v>
      </c>
      <c r="F145" s="18" t="s">
        <v>24</v>
      </c>
      <c r="G145" s="21">
        <v>1470.25</v>
      </c>
    </row>
    <row r="146" spans="2:7" x14ac:dyDescent="0.25">
      <c r="B146" s="19">
        <v>41376</v>
      </c>
      <c r="C146" s="20">
        <v>2</v>
      </c>
      <c r="D146" s="18" t="s">
        <v>18</v>
      </c>
      <c r="E146" s="18" t="s">
        <v>19</v>
      </c>
      <c r="F146" s="18" t="s">
        <v>29</v>
      </c>
      <c r="G146" s="21">
        <v>2751.46</v>
      </c>
    </row>
    <row r="147" spans="2:7" x14ac:dyDescent="0.25">
      <c r="B147" s="19">
        <v>41579</v>
      </c>
      <c r="C147" s="20">
        <v>4</v>
      </c>
      <c r="D147" s="18" t="s">
        <v>25</v>
      </c>
      <c r="E147" s="18" t="s">
        <v>26</v>
      </c>
      <c r="F147" s="18" t="s">
        <v>29</v>
      </c>
      <c r="G147" s="21">
        <v>3048.66</v>
      </c>
    </row>
    <row r="148" spans="2:7" x14ac:dyDescent="0.25">
      <c r="B148" s="19">
        <v>41516</v>
      </c>
      <c r="C148" s="20">
        <v>3</v>
      </c>
      <c r="D148" s="18" t="s">
        <v>10</v>
      </c>
      <c r="E148" s="18" t="s">
        <v>28</v>
      </c>
      <c r="F148" s="18" t="s">
        <v>22</v>
      </c>
      <c r="G148" s="21">
        <v>1810.03</v>
      </c>
    </row>
    <row r="149" spans="2:7" x14ac:dyDescent="0.25">
      <c r="B149" s="19">
        <v>41936</v>
      </c>
      <c r="C149" s="20">
        <v>4</v>
      </c>
      <c r="D149" s="18" t="s">
        <v>8</v>
      </c>
      <c r="E149" s="18" t="s">
        <v>23</v>
      </c>
      <c r="F149" s="18" t="s">
        <v>24</v>
      </c>
      <c r="G149" s="21">
        <v>162.04</v>
      </c>
    </row>
    <row r="150" spans="2:7" x14ac:dyDescent="0.25">
      <c r="B150" s="19">
        <v>41876</v>
      </c>
      <c r="C150" s="20">
        <v>3</v>
      </c>
      <c r="D150" s="18" t="s">
        <v>21</v>
      </c>
      <c r="E150" s="18" t="s">
        <v>19</v>
      </c>
      <c r="F150" s="18" t="s">
        <v>32</v>
      </c>
      <c r="G150" s="21">
        <v>875.22</v>
      </c>
    </row>
    <row r="151" spans="2:7" x14ac:dyDescent="0.25">
      <c r="B151" s="19">
        <v>41437</v>
      </c>
      <c r="C151" s="20">
        <v>2</v>
      </c>
      <c r="D151" s="18" t="s">
        <v>25</v>
      </c>
      <c r="E151" s="18" t="s">
        <v>26</v>
      </c>
      <c r="F151" s="18" t="s">
        <v>33</v>
      </c>
      <c r="G151" s="21">
        <v>2574.54</v>
      </c>
    </row>
    <row r="152" spans="2:7" x14ac:dyDescent="0.25">
      <c r="B152" s="19">
        <v>41483</v>
      </c>
      <c r="C152" s="20">
        <v>3</v>
      </c>
      <c r="D152" s="18" t="s">
        <v>11</v>
      </c>
      <c r="E152" s="18" t="s">
        <v>23</v>
      </c>
      <c r="F152" s="18" t="s">
        <v>22</v>
      </c>
      <c r="G152" s="21">
        <v>1153.0999999999999</v>
      </c>
    </row>
    <row r="153" spans="2:7" x14ac:dyDescent="0.25">
      <c r="B153" s="19">
        <v>41652</v>
      </c>
      <c r="C153" s="20">
        <v>1</v>
      </c>
      <c r="D153" s="18" t="s">
        <v>9</v>
      </c>
      <c r="E153" s="18" t="s">
        <v>26</v>
      </c>
      <c r="F153" s="18" t="s">
        <v>29</v>
      </c>
      <c r="G153" s="21">
        <v>2721.88</v>
      </c>
    </row>
    <row r="154" spans="2:7" x14ac:dyDescent="0.25">
      <c r="B154" s="19">
        <v>41780</v>
      </c>
      <c r="C154" s="20">
        <v>2</v>
      </c>
      <c r="D154" s="18" t="s">
        <v>25</v>
      </c>
      <c r="E154" s="18" t="s">
        <v>26</v>
      </c>
      <c r="F154" s="18" t="s">
        <v>24</v>
      </c>
      <c r="G154" s="21">
        <v>1576.04</v>
      </c>
    </row>
    <row r="155" spans="2:7" x14ac:dyDescent="0.25">
      <c r="B155" s="19">
        <v>41375</v>
      </c>
      <c r="C155" s="20">
        <v>2</v>
      </c>
      <c r="D155" s="18" t="s">
        <v>18</v>
      </c>
      <c r="E155" s="18" t="s">
        <v>19</v>
      </c>
      <c r="F155" s="18" t="s">
        <v>30</v>
      </c>
      <c r="G155" s="21">
        <v>217.7</v>
      </c>
    </row>
    <row r="156" spans="2:7" x14ac:dyDescent="0.25">
      <c r="B156" s="19">
        <v>41889</v>
      </c>
      <c r="C156" s="20">
        <v>3</v>
      </c>
      <c r="D156" s="18" t="s">
        <v>18</v>
      </c>
      <c r="E156" s="18" t="s">
        <v>19</v>
      </c>
      <c r="F156" s="18" t="s">
        <v>33</v>
      </c>
      <c r="G156" s="21">
        <v>473.15</v>
      </c>
    </row>
    <row r="157" spans="2:7" x14ac:dyDescent="0.25">
      <c r="B157" s="19">
        <v>41376</v>
      </c>
      <c r="C157" s="20">
        <v>2</v>
      </c>
      <c r="D157" s="18" t="s">
        <v>9</v>
      </c>
      <c r="E157" s="18" t="s">
        <v>26</v>
      </c>
      <c r="F157" s="18" t="s">
        <v>32</v>
      </c>
      <c r="G157" s="21">
        <v>1897.59</v>
      </c>
    </row>
    <row r="158" spans="2:7" x14ac:dyDescent="0.25">
      <c r="B158" s="19">
        <v>41981</v>
      </c>
      <c r="C158" s="20">
        <v>4</v>
      </c>
      <c r="D158" s="18" t="s">
        <v>31</v>
      </c>
      <c r="E158" s="18" t="s">
        <v>28</v>
      </c>
      <c r="F158" s="18" t="s">
        <v>27</v>
      </c>
      <c r="G158" s="21">
        <v>733.86</v>
      </c>
    </row>
    <row r="159" spans="2:7" x14ac:dyDescent="0.25">
      <c r="B159" s="19">
        <v>41544</v>
      </c>
      <c r="C159" s="20">
        <v>3</v>
      </c>
      <c r="D159" s="18" t="s">
        <v>25</v>
      </c>
      <c r="E159" s="18" t="s">
        <v>26</v>
      </c>
      <c r="F159" s="18" t="s">
        <v>33</v>
      </c>
      <c r="G159" s="21">
        <v>2170.11</v>
      </c>
    </row>
    <row r="160" spans="2:7" x14ac:dyDescent="0.25">
      <c r="B160" s="19">
        <v>41651</v>
      </c>
      <c r="C160" s="20">
        <v>1</v>
      </c>
      <c r="D160" s="18" t="s">
        <v>9</v>
      </c>
      <c r="E160" s="18" t="s">
        <v>26</v>
      </c>
      <c r="F160" s="18" t="s">
        <v>20</v>
      </c>
      <c r="G160" s="21">
        <v>771.42</v>
      </c>
    </row>
    <row r="161" spans="2:7" x14ac:dyDescent="0.25">
      <c r="B161" s="19">
        <v>41504</v>
      </c>
      <c r="C161" s="20">
        <v>3</v>
      </c>
      <c r="D161" s="18" t="s">
        <v>9</v>
      </c>
      <c r="E161" s="18" t="s">
        <v>26</v>
      </c>
      <c r="F161" s="18" t="s">
        <v>30</v>
      </c>
      <c r="G161" s="21">
        <v>1771.08</v>
      </c>
    </row>
    <row r="162" spans="2:7" x14ac:dyDescent="0.25">
      <c r="B162" s="19">
        <v>41730</v>
      </c>
      <c r="C162" s="20">
        <v>2</v>
      </c>
      <c r="D162" s="18" t="s">
        <v>10</v>
      </c>
      <c r="E162" s="18" t="s">
        <v>28</v>
      </c>
      <c r="F162" s="18" t="s">
        <v>22</v>
      </c>
      <c r="G162" s="21">
        <v>1193.5</v>
      </c>
    </row>
    <row r="163" spans="2:7" x14ac:dyDescent="0.25">
      <c r="B163" s="19">
        <v>41536</v>
      </c>
      <c r="C163" s="20">
        <v>3</v>
      </c>
      <c r="D163" s="18" t="s">
        <v>8</v>
      </c>
      <c r="E163" s="18" t="s">
        <v>23</v>
      </c>
      <c r="F163" s="18" t="s">
        <v>22</v>
      </c>
      <c r="G163" s="21">
        <v>1636.68</v>
      </c>
    </row>
    <row r="164" spans="2:7" x14ac:dyDescent="0.25">
      <c r="B164" s="19">
        <v>41608</v>
      </c>
      <c r="C164" s="20">
        <v>4</v>
      </c>
      <c r="D164" s="18" t="s">
        <v>25</v>
      </c>
      <c r="E164" s="18" t="s">
        <v>26</v>
      </c>
      <c r="F164" s="18" t="s">
        <v>27</v>
      </c>
      <c r="G164" s="21">
        <v>1582.84</v>
      </c>
    </row>
    <row r="165" spans="2:7" x14ac:dyDescent="0.25">
      <c r="B165" s="19">
        <v>41281</v>
      </c>
      <c r="C165" s="20">
        <v>1</v>
      </c>
      <c r="D165" s="18" t="s">
        <v>11</v>
      </c>
      <c r="E165" s="18" t="s">
        <v>23</v>
      </c>
      <c r="F165" s="18" t="s">
        <v>20</v>
      </c>
      <c r="G165" s="21">
        <v>615.12</v>
      </c>
    </row>
    <row r="166" spans="2:7" x14ac:dyDescent="0.25">
      <c r="B166" s="19">
        <v>41900</v>
      </c>
      <c r="C166" s="20">
        <v>3</v>
      </c>
      <c r="D166" s="18" t="s">
        <v>8</v>
      </c>
      <c r="E166" s="18" t="s">
        <v>23</v>
      </c>
      <c r="F166" s="18" t="s">
        <v>29</v>
      </c>
      <c r="G166" s="21">
        <v>3396.52</v>
      </c>
    </row>
    <row r="167" spans="2:7" x14ac:dyDescent="0.25">
      <c r="B167" s="19">
        <v>41461</v>
      </c>
      <c r="C167" s="20">
        <v>3</v>
      </c>
      <c r="D167" s="18" t="s">
        <v>31</v>
      </c>
      <c r="E167" s="18" t="s">
        <v>28</v>
      </c>
      <c r="F167" s="18" t="s">
        <v>32</v>
      </c>
      <c r="G167" s="21">
        <v>1323.58</v>
      </c>
    </row>
    <row r="168" spans="2:7" x14ac:dyDescent="0.25">
      <c r="B168" s="19">
        <v>41496</v>
      </c>
      <c r="C168" s="20">
        <v>3</v>
      </c>
      <c r="D168" s="18" t="s">
        <v>21</v>
      </c>
      <c r="E168" s="18" t="s">
        <v>19</v>
      </c>
      <c r="F168" s="18" t="s">
        <v>33</v>
      </c>
      <c r="G168" s="21">
        <v>2225.94</v>
      </c>
    </row>
    <row r="169" spans="2:7" x14ac:dyDescent="0.25">
      <c r="B169" s="19">
        <v>41533</v>
      </c>
      <c r="C169" s="20">
        <v>3</v>
      </c>
      <c r="D169" s="18" t="s">
        <v>10</v>
      </c>
      <c r="E169" s="18" t="s">
        <v>28</v>
      </c>
      <c r="F169" s="18" t="s">
        <v>20</v>
      </c>
      <c r="G169" s="21">
        <v>193.39</v>
      </c>
    </row>
    <row r="170" spans="2:7" x14ac:dyDescent="0.25">
      <c r="B170" s="19">
        <v>41581</v>
      </c>
      <c r="C170" s="20">
        <v>4</v>
      </c>
      <c r="D170" s="18" t="s">
        <v>21</v>
      </c>
      <c r="E170" s="18" t="s">
        <v>19</v>
      </c>
      <c r="F170" s="18" t="s">
        <v>27</v>
      </c>
      <c r="G170" s="21">
        <v>743.88</v>
      </c>
    </row>
    <row r="171" spans="2:7" x14ac:dyDescent="0.25">
      <c r="B171" s="19">
        <v>41889</v>
      </c>
      <c r="C171" s="20">
        <v>3</v>
      </c>
      <c r="D171" s="18" t="s">
        <v>21</v>
      </c>
      <c r="E171" s="18" t="s">
        <v>19</v>
      </c>
      <c r="F171" s="18" t="s">
        <v>27</v>
      </c>
      <c r="G171" s="21">
        <v>1832.9</v>
      </c>
    </row>
    <row r="172" spans="2:7" x14ac:dyDescent="0.25">
      <c r="B172" s="19">
        <v>41470</v>
      </c>
      <c r="C172" s="20">
        <v>3</v>
      </c>
      <c r="D172" s="18" t="s">
        <v>18</v>
      </c>
      <c r="E172" s="18" t="s">
        <v>19</v>
      </c>
      <c r="F172" s="18" t="s">
        <v>22</v>
      </c>
      <c r="G172" s="21">
        <v>1791.99</v>
      </c>
    </row>
    <row r="173" spans="2:7" x14ac:dyDescent="0.25">
      <c r="B173" s="19">
        <v>41699</v>
      </c>
      <c r="C173" s="20">
        <v>1</v>
      </c>
      <c r="D173" s="18" t="s">
        <v>11</v>
      </c>
      <c r="E173" s="18" t="s">
        <v>23</v>
      </c>
      <c r="F173" s="18" t="s">
        <v>33</v>
      </c>
      <c r="G173" s="21">
        <v>1451.51</v>
      </c>
    </row>
    <row r="174" spans="2:7" x14ac:dyDescent="0.25">
      <c r="B174" s="19">
        <v>41973</v>
      </c>
      <c r="C174" s="20">
        <v>4</v>
      </c>
      <c r="D174" s="18" t="s">
        <v>10</v>
      </c>
      <c r="E174" s="18" t="s">
        <v>28</v>
      </c>
      <c r="F174" s="18" t="s">
        <v>32</v>
      </c>
      <c r="G174" s="21">
        <v>843.65</v>
      </c>
    </row>
    <row r="175" spans="2:7" x14ac:dyDescent="0.25">
      <c r="B175" s="19">
        <v>41986</v>
      </c>
      <c r="C175" s="20">
        <v>4</v>
      </c>
      <c r="D175" s="18" t="s">
        <v>18</v>
      </c>
      <c r="E175" s="18" t="s">
        <v>19</v>
      </c>
      <c r="F175" s="18" t="s">
        <v>20</v>
      </c>
      <c r="G175" s="21">
        <v>232.75</v>
      </c>
    </row>
    <row r="176" spans="2:7" x14ac:dyDescent="0.25">
      <c r="B176" s="19">
        <v>41645</v>
      </c>
      <c r="C176" s="20">
        <v>1</v>
      </c>
      <c r="D176" s="18" t="s">
        <v>21</v>
      </c>
      <c r="E176" s="18" t="s">
        <v>19</v>
      </c>
      <c r="F176" s="18" t="s">
        <v>33</v>
      </c>
      <c r="G176" s="21">
        <v>1362.57</v>
      </c>
    </row>
    <row r="177" spans="2:7" x14ac:dyDescent="0.25">
      <c r="B177" s="19">
        <v>41481</v>
      </c>
      <c r="C177" s="20">
        <v>3</v>
      </c>
      <c r="D177" s="18" t="s">
        <v>21</v>
      </c>
      <c r="E177" s="18" t="s">
        <v>19</v>
      </c>
      <c r="F177" s="18" t="s">
        <v>33</v>
      </c>
      <c r="G177" s="21">
        <v>2707.92</v>
      </c>
    </row>
    <row r="178" spans="2:7" x14ac:dyDescent="0.25">
      <c r="B178" s="19">
        <v>41584</v>
      </c>
      <c r="C178" s="20">
        <v>4</v>
      </c>
      <c r="D178" s="18" t="s">
        <v>31</v>
      </c>
      <c r="E178" s="18" t="s">
        <v>28</v>
      </c>
      <c r="F178" s="18" t="s">
        <v>32</v>
      </c>
      <c r="G178" s="21">
        <v>152.94</v>
      </c>
    </row>
    <row r="179" spans="2:7" x14ac:dyDescent="0.25">
      <c r="B179" s="19">
        <v>41888</v>
      </c>
      <c r="C179" s="20">
        <v>3</v>
      </c>
      <c r="D179" s="18" t="s">
        <v>21</v>
      </c>
      <c r="E179" s="18" t="s">
        <v>19</v>
      </c>
      <c r="F179" s="18" t="s">
        <v>29</v>
      </c>
      <c r="G179" s="21">
        <v>2044.82</v>
      </c>
    </row>
    <row r="180" spans="2:7" x14ac:dyDescent="0.25">
      <c r="B180" s="19">
        <v>41642</v>
      </c>
      <c r="C180" s="20">
        <v>1</v>
      </c>
      <c r="D180" s="18" t="s">
        <v>31</v>
      </c>
      <c r="E180" s="18" t="s">
        <v>28</v>
      </c>
      <c r="F180" s="18" t="s">
        <v>22</v>
      </c>
      <c r="G180" s="21">
        <v>1281.19</v>
      </c>
    </row>
    <row r="181" spans="2:7" x14ac:dyDescent="0.25">
      <c r="B181" s="19">
        <v>41435</v>
      </c>
      <c r="C181" s="20">
        <v>2</v>
      </c>
      <c r="D181" s="18" t="s">
        <v>25</v>
      </c>
      <c r="E181" s="18" t="s">
        <v>26</v>
      </c>
      <c r="F181" s="18" t="s">
        <v>29</v>
      </c>
      <c r="G181" s="21">
        <v>2344.1999999999998</v>
      </c>
    </row>
    <row r="182" spans="2:7" x14ac:dyDescent="0.25">
      <c r="B182" s="19">
        <v>41469</v>
      </c>
      <c r="C182" s="20">
        <v>3</v>
      </c>
      <c r="D182" s="18" t="s">
        <v>11</v>
      </c>
      <c r="E182" s="18" t="s">
        <v>23</v>
      </c>
      <c r="F182" s="18" t="s">
        <v>20</v>
      </c>
      <c r="G182" s="21">
        <v>176.54</v>
      </c>
    </row>
    <row r="183" spans="2:7" x14ac:dyDescent="0.25">
      <c r="B183" s="19">
        <v>41442</v>
      </c>
      <c r="C183" s="20">
        <v>2</v>
      </c>
      <c r="D183" s="18" t="s">
        <v>10</v>
      </c>
      <c r="E183" s="18" t="s">
        <v>28</v>
      </c>
      <c r="F183" s="18" t="s">
        <v>27</v>
      </c>
      <c r="G183" s="21">
        <v>1560.55</v>
      </c>
    </row>
    <row r="184" spans="2:7" x14ac:dyDescent="0.25">
      <c r="B184" s="19">
        <v>41971</v>
      </c>
      <c r="C184" s="20">
        <v>4</v>
      </c>
      <c r="D184" s="18" t="s">
        <v>25</v>
      </c>
      <c r="E184" s="18" t="s">
        <v>26</v>
      </c>
      <c r="F184" s="18" t="s">
        <v>30</v>
      </c>
      <c r="G184" s="21">
        <v>2113.65</v>
      </c>
    </row>
    <row r="185" spans="2:7" x14ac:dyDescent="0.25">
      <c r="B185" s="19">
        <v>41418</v>
      </c>
      <c r="C185" s="20">
        <v>2</v>
      </c>
      <c r="D185" s="18" t="s">
        <v>31</v>
      </c>
      <c r="E185" s="18" t="s">
        <v>28</v>
      </c>
      <c r="F185" s="18" t="s">
        <v>24</v>
      </c>
      <c r="G185" s="21">
        <v>1240.3900000000001</v>
      </c>
    </row>
    <row r="186" spans="2:7" x14ac:dyDescent="0.25">
      <c r="B186" s="19">
        <v>41947</v>
      </c>
      <c r="C186" s="20">
        <v>4</v>
      </c>
      <c r="D186" s="18" t="s">
        <v>9</v>
      </c>
      <c r="E186" s="18" t="s">
        <v>26</v>
      </c>
      <c r="F186" s="18" t="s">
        <v>22</v>
      </c>
      <c r="G186" s="21">
        <v>958.82</v>
      </c>
    </row>
    <row r="187" spans="2:7" x14ac:dyDescent="0.25">
      <c r="B187" s="19">
        <v>41584</v>
      </c>
      <c r="C187" s="20">
        <v>4</v>
      </c>
      <c r="D187" s="18" t="s">
        <v>9</v>
      </c>
      <c r="E187" s="18" t="s">
        <v>26</v>
      </c>
      <c r="F187" s="18" t="s">
        <v>33</v>
      </c>
      <c r="G187" s="21">
        <v>493.02</v>
      </c>
    </row>
    <row r="188" spans="2:7" x14ac:dyDescent="0.25">
      <c r="B188" s="19">
        <v>41644</v>
      </c>
      <c r="C188" s="20">
        <v>1</v>
      </c>
      <c r="D188" s="18" t="s">
        <v>10</v>
      </c>
      <c r="E188" s="18" t="s">
        <v>28</v>
      </c>
      <c r="F188" s="18" t="s">
        <v>27</v>
      </c>
      <c r="G188" s="21">
        <v>557.84</v>
      </c>
    </row>
    <row r="189" spans="2:7" x14ac:dyDescent="0.25">
      <c r="B189" s="19">
        <v>41940</v>
      </c>
      <c r="C189" s="20">
        <v>4</v>
      </c>
      <c r="D189" s="18" t="s">
        <v>31</v>
      </c>
      <c r="E189" s="18" t="s">
        <v>28</v>
      </c>
      <c r="F189" s="18" t="s">
        <v>20</v>
      </c>
      <c r="G189" s="21">
        <v>701.28</v>
      </c>
    </row>
    <row r="190" spans="2:7" x14ac:dyDescent="0.25">
      <c r="B190" s="19">
        <v>41420</v>
      </c>
      <c r="C190" s="20">
        <v>2</v>
      </c>
      <c r="D190" s="18" t="s">
        <v>8</v>
      </c>
      <c r="E190" s="18" t="s">
        <v>23</v>
      </c>
      <c r="F190" s="18" t="s">
        <v>30</v>
      </c>
      <c r="G190" s="21">
        <v>465.61</v>
      </c>
    </row>
    <row r="191" spans="2:7" x14ac:dyDescent="0.25">
      <c r="B191" s="19">
        <v>41634</v>
      </c>
      <c r="C191" s="20">
        <v>4</v>
      </c>
      <c r="D191" s="18" t="s">
        <v>8</v>
      </c>
      <c r="E191" s="18" t="s">
        <v>23</v>
      </c>
      <c r="F191" s="18" t="s">
        <v>29</v>
      </c>
      <c r="G191" s="21">
        <v>208.26</v>
      </c>
    </row>
    <row r="192" spans="2:7" x14ac:dyDescent="0.25">
      <c r="B192" s="19">
        <v>41779</v>
      </c>
      <c r="C192" s="20">
        <v>2</v>
      </c>
      <c r="D192" s="18" t="s">
        <v>8</v>
      </c>
      <c r="E192" s="18" t="s">
        <v>23</v>
      </c>
      <c r="F192" s="18" t="s">
        <v>29</v>
      </c>
      <c r="G192" s="21">
        <v>3364.5</v>
      </c>
    </row>
    <row r="193" spans="2:7" x14ac:dyDescent="0.25">
      <c r="B193" s="19">
        <v>41929</v>
      </c>
      <c r="C193" s="20">
        <v>4</v>
      </c>
      <c r="D193" s="18" t="s">
        <v>21</v>
      </c>
      <c r="E193" s="18" t="s">
        <v>19</v>
      </c>
      <c r="F193" s="18" t="s">
        <v>24</v>
      </c>
      <c r="G193" s="21">
        <v>1878.94</v>
      </c>
    </row>
    <row r="194" spans="2:7" x14ac:dyDescent="0.25">
      <c r="B194" s="19">
        <v>41335</v>
      </c>
      <c r="C194" s="20">
        <v>1</v>
      </c>
      <c r="D194" s="18" t="s">
        <v>9</v>
      </c>
      <c r="E194" s="18" t="s">
        <v>26</v>
      </c>
      <c r="F194" s="18" t="s">
        <v>22</v>
      </c>
      <c r="G194" s="21">
        <v>1408.84</v>
      </c>
    </row>
    <row r="195" spans="2:7" x14ac:dyDescent="0.25">
      <c r="B195" s="19">
        <v>41370</v>
      </c>
      <c r="C195" s="20">
        <v>2</v>
      </c>
      <c r="D195" s="18" t="s">
        <v>18</v>
      </c>
      <c r="E195" s="18" t="s">
        <v>19</v>
      </c>
      <c r="F195" s="18" t="s">
        <v>27</v>
      </c>
      <c r="G195" s="21">
        <v>1540.44</v>
      </c>
    </row>
    <row r="196" spans="2:7" x14ac:dyDescent="0.25">
      <c r="B196" s="19">
        <v>41548</v>
      </c>
      <c r="C196" s="20">
        <v>4</v>
      </c>
      <c r="D196" s="18" t="s">
        <v>31</v>
      </c>
      <c r="E196" s="18" t="s">
        <v>28</v>
      </c>
      <c r="F196" s="18" t="s">
        <v>24</v>
      </c>
      <c r="G196" s="21">
        <v>1572.35</v>
      </c>
    </row>
    <row r="197" spans="2:7" x14ac:dyDescent="0.25">
      <c r="B197" s="19">
        <v>41620</v>
      </c>
      <c r="C197" s="20">
        <v>4</v>
      </c>
      <c r="D197" s="18" t="s">
        <v>18</v>
      </c>
      <c r="E197" s="18" t="s">
        <v>19</v>
      </c>
      <c r="F197" s="18" t="s">
        <v>32</v>
      </c>
      <c r="G197" s="21">
        <v>1786</v>
      </c>
    </row>
    <row r="198" spans="2:7" x14ac:dyDescent="0.25">
      <c r="B198" s="19">
        <v>41422</v>
      </c>
      <c r="C198" s="20">
        <v>2</v>
      </c>
      <c r="D198" s="18" t="s">
        <v>18</v>
      </c>
      <c r="E198" s="18" t="s">
        <v>19</v>
      </c>
      <c r="F198" s="18" t="s">
        <v>27</v>
      </c>
      <c r="G198" s="21">
        <v>1981.69</v>
      </c>
    </row>
    <row r="199" spans="2:7" x14ac:dyDescent="0.25">
      <c r="B199" s="19">
        <v>41306</v>
      </c>
      <c r="C199" s="20">
        <v>1</v>
      </c>
      <c r="D199" s="18" t="s">
        <v>8</v>
      </c>
      <c r="E199" s="18" t="s">
        <v>23</v>
      </c>
      <c r="F199" s="18" t="s">
        <v>33</v>
      </c>
      <c r="G199" s="21">
        <v>1384.77</v>
      </c>
    </row>
    <row r="200" spans="2:7" x14ac:dyDescent="0.25">
      <c r="B200" s="19">
        <v>41948</v>
      </c>
      <c r="C200" s="20">
        <v>4</v>
      </c>
      <c r="D200" s="18" t="s">
        <v>31</v>
      </c>
      <c r="E200" s="18" t="s">
        <v>28</v>
      </c>
      <c r="F200" s="18" t="s">
        <v>33</v>
      </c>
      <c r="G200" s="21">
        <v>1086.5899999999999</v>
      </c>
    </row>
    <row r="201" spans="2:7" x14ac:dyDescent="0.25">
      <c r="B201" s="19">
        <v>41352</v>
      </c>
      <c r="C201" s="20">
        <v>1</v>
      </c>
      <c r="D201" s="18" t="s">
        <v>31</v>
      </c>
      <c r="E201" s="18" t="s">
        <v>28</v>
      </c>
      <c r="F201" s="18" t="s">
        <v>24</v>
      </c>
      <c r="G201" s="21">
        <v>164.77</v>
      </c>
    </row>
    <row r="202" spans="2:7" x14ac:dyDescent="0.25">
      <c r="B202" s="19">
        <v>41304</v>
      </c>
      <c r="C202" s="20">
        <v>1</v>
      </c>
      <c r="D202" s="18" t="s">
        <v>11</v>
      </c>
      <c r="E202" s="18" t="s">
        <v>23</v>
      </c>
      <c r="F202" s="18" t="s">
        <v>32</v>
      </c>
      <c r="G202" s="21">
        <v>1048.9000000000001</v>
      </c>
    </row>
    <row r="203" spans="2:7" x14ac:dyDescent="0.25">
      <c r="B203" s="19">
        <v>41661</v>
      </c>
      <c r="C203" s="20">
        <v>1</v>
      </c>
      <c r="D203" s="18" t="s">
        <v>10</v>
      </c>
      <c r="E203" s="18" t="s">
        <v>28</v>
      </c>
      <c r="F203" s="18" t="s">
        <v>29</v>
      </c>
      <c r="G203" s="21">
        <v>1497.9</v>
      </c>
    </row>
    <row r="204" spans="2:7" x14ac:dyDescent="0.25">
      <c r="B204" s="19">
        <v>41377</v>
      </c>
      <c r="C204" s="20">
        <v>2</v>
      </c>
      <c r="D204" s="18" t="s">
        <v>11</v>
      </c>
      <c r="E204" s="18" t="s">
        <v>23</v>
      </c>
      <c r="F204" s="18" t="s">
        <v>32</v>
      </c>
      <c r="G204" s="21">
        <v>1845.39</v>
      </c>
    </row>
    <row r="205" spans="2:7" x14ac:dyDescent="0.25">
      <c r="B205" s="19">
        <v>41989</v>
      </c>
      <c r="C205" s="20">
        <v>4</v>
      </c>
      <c r="D205" s="18" t="s">
        <v>18</v>
      </c>
      <c r="E205" s="18" t="s">
        <v>19</v>
      </c>
      <c r="F205" s="18" t="s">
        <v>24</v>
      </c>
      <c r="G205" s="21">
        <v>612.6</v>
      </c>
    </row>
    <row r="206" spans="2:7" x14ac:dyDescent="0.25">
      <c r="B206" s="19">
        <v>41466</v>
      </c>
      <c r="C206" s="20">
        <v>3</v>
      </c>
      <c r="D206" s="18" t="s">
        <v>21</v>
      </c>
      <c r="E206" s="18" t="s">
        <v>19</v>
      </c>
      <c r="F206" s="18" t="s">
        <v>29</v>
      </c>
      <c r="G206" s="21">
        <v>2233.36</v>
      </c>
    </row>
    <row r="207" spans="2:7" x14ac:dyDescent="0.25">
      <c r="B207" s="19">
        <v>41445</v>
      </c>
      <c r="C207" s="20">
        <v>2</v>
      </c>
      <c r="D207" s="18" t="s">
        <v>31</v>
      </c>
      <c r="E207" s="18" t="s">
        <v>28</v>
      </c>
      <c r="F207" s="18" t="s">
        <v>22</v>
      </c>
      <c r="G207" s="21">
        <v>1115.73</v>
      </c>
    </row>
    <row r="208" spans="2:7" x14ac:dyDescent="0.25">
      <c r="B208" s="19">
        <v>41715</v>
      </c>
      <c r="C208" s="20">
        <v>1</v>
      </c>
      <c r="D208" s="18" t="s">
        <v>9</v>
      </c>
      <c r="E208" s="18" t="s">
        <v>26</v>
      </c>
      <c r="F208" s="18" t="s">
        <v>33</v>
      </c>
      <c r="G208" s="21">
        <v>1974.54</v>
      </c>
    </row>
    <row r="209" spans="2:7" x14ac:dyDescent="0.25">
      <c r="B209" s="19">
        <v>41915</v>
      </c>
      <c r="C209" s="20">
        <v>4</v>
      </c>
      <c r="D209" s="18" t="s">
        <v>21</v>
      </c>
      <c r="E209" s="18" t="s">
        <v>19</v>
      </c>
      <c r="F209" s="18" t="s">
        <v>24</v>
      </c>
      <c r="G209" s="21">
        <v>1314.46</v>
      </c>
    </row>
    <row r="210" spans="2:7" x14ac:dyDescent="0.25">
      <c r="B210" s="19">
        <v>41296</v>
      </c>
      <c r="C210" s="20">
        <v>1</v>
      </c>
      <c r="D210" s="18" t="s">
        <v>31</v>
      </c>
      <c r="E210" s="18" t="s">
        <v>28</v>
      </c>
      <c r="F210" s="18" t="s">
        <v>33</v>
      </c>
      <c r="G210" s="21">
        <v>2531.94</v>
      </c>
    </row>
    <row r="211" spans="2:7" x14ac:dyDescent="0.25">
      <c r="B211" s="19">
        <v>41489</v>
      </c>
      <c r="C211" s="20">
        <v>3</v>
      </c>
      <c r="D211" s="18" t="s">
        <v>31</v>
      </c>
      <c r="E211" s="18" t="s">
        <v>28</v>
      </c>
      <c r="F211" s="18" t="s">
        <v>32</v>
      </c>
      <c r="G211" s="21">
        <v>153.74</v>
      </c>
    </row>
    <row r="212" spans="2:7" x14ac:dyDescent="0.25">
      <c r="B212" s="19">
        <v>41305</v>
      </c>
      <c r="C212" s="20">
        <v>1</v>
      </c>
      <c r="D212" s="18" t="s">
        <v>8</v>
      </c>
      <c r="E212" s="18" t="s">
        <v>23</v>
      </c>
      <c r="F212" s="18" t="s">
        <v>24</v>
      </c>
      <c r="G212" s="21">
        <v>794.69</v>
      </c>
    </row>
    <row r="213" spans="2:7" x14ac:dyDescent="0.25">
      <c r="B213" s="19">
        <v>41515</v>
      </c>
      <c r="C213" s="20">
        <v>3</v>
      </c>
      <c r="D213" s="18" t="s">
        <v>9</v>
      </c>
      <c r="E213" s="18" t="s">
        <v>26</v>
      </c>
      <c r="F213" s="18" t="s">
        <v>27</v>
      </c>
      <c r="G213" s="21">
        <v>617.89</v>
      </c>
    </row>
    <row r="214" spans="2:7" x14ac:dyDescent="0.25">
      <c r="B214" s="19">
        <v>41457</v>
      </c>
      <c r="C214" s="20">
        <v>3</v>
      </c>
      <c r="D214" s="18" t="s">
        <v>8</v>
      </c>
      <c r="E214" s="18" t="s">
        <v>23</v>
      </c>
      <c r="F214" s="18" t="s">
        <v>27</v>
      </c>
      <c r="G214" s="21">
        <v>665.03</v>
      </c>
    </row>
    <row r="215" spans="2:7" x14ac:dyDescent="0.25">
      <c r="B215" s="19">
        <v>41812</v>
      </c>
      <c r="C215" s="20">
        <v>2</v>
      </c>
      <c r="D215" s="18" t="s">
        <v>10</v>
      </c>
      <c r="E215" s="18" t="s">
        <v>28</v>
      </c>
      <c r="F215" s="18" t="s">
        <v>27</v>
      </c>
      <c r="G215" s="21">
        <v>1175.3</v>
      </c>
    </row>
    <row r="216" spans="2:7" x14ac:dyDescent="0.25">
      <c r="B216" s="19">
        <v>41386</v>
      </c>
      <c r="C216" s="20">
        <v>2</v>
      </c>
      <c r="D216" s="18" t="s">
        <v>11</v>
      </c>
      <c r="E216" s="18" t="s">
        <v>23</v>
      </c>
      <c r="F216" s="18" t="s">
        <v>27</v>
      </c>
      <c r="G216" s="21">
        <v>678.51</v>
      </c>
    </row>
    <row r="217" spans="2:7" x14ac:dyDescent="0.25">
      <c r="B217" s="19">
        <v>41764</v>
      </c>
      <c r="C217" s="20">
        <v>2</v>
      </c>
      <c r="D217" s="18" t="s">
        <v>9</v>
      </c>
      <c r="E217" s="18" t="s">
        <v>26</v>
      </c>
      <c r="F217" s="18" t="s">
        <v>29</v>
      </c>
      <c r="G217" s="21">
        <v>608.86</v>
      </c>
    </row>
    <row r="218" spans="2:7" x14ac:dyDescent="0.25">
      <c r="B218" s="19">
        <v>41438</v>
      </c>
      <c r="C218" s="20">
        <v>2</v>
      </c>
      <c r="D218" s="18" t="s">
        <v>10</v>
      </c>
      <c r="E218" s="18" t="s">
        <v>28</v>
      </c>
      <c r="F218" s="18" t="s">
        <v>27</v>
      </c>
      <c r="G218" s="21">
        <v>365.52</v>
      </c>
    </row>
    <row r="219" spans="2:7" x14ac:dyDescent="0.25">
      <c r="B219" s="19">
        <v>41293</v>
      </c>
      <c r="C219" s="20">
        <v>1</v>
      </c>
      <c r="D219" s="18" t="s">
        <v>31</v>
      </c>
      <c r="E219" s="18" t="s">
        <v>28</v>
      </c>
      <c r="F219" s="18" t="s">
        <v>20</v>
      </c>
      <c r="G219" s="21">
        <v>228.16</v>
      </c>
    </row>
    <row r="220" spans="2:7" x14ac:dyDescent="0.25">
      <c r="B220" s="19">
        <v>41738</v>
      </c>
      <c r="C220" s="20">
        <v>2</v>
      </c>
      <c r="D220" s="18" t="s">
        <v>18</v>
      </c>
      <c r="E220" s="18" t="s">
        <v>19</v>
      </c>
      <c r="F220" s="18" t="s">
        <v>33</v>
      </c>
      <c r="G220" s="21">
        <v>1634.75</v>
      </c>
    </row>
    <row r="221" spans="2:7" x14ac:dyDescent="0.25">
      <c r="B221" s="19">
        <v>41402</v>
      </c>
      <c r="C221" s="20">
        <v>2</v>
      </c>
      <c r="D221" s="18" t="s">
        <v>31</v>
      </c>
      <c r="E221" s="18" t="s">
        <v>28</v>
      </c>
      <c r="F221" s="18" t="s">
        <v>27</v>
      </c>
      <c r="G221" s="21">
        <v>1685.76</v>
      </c>
    </row>
    <row r="222" spans="2:7" x14ac:dyDescent="0.25">
      <c r="B222" s="19">
        <v>41372</v>
      </c>
      <c r="C222" s="20">
        <v>2</v>
      </c>
      <c r="D222" s="18" t="s">
        <v>11</v>
      </c>
      <c r="E222" s="18" t="s">
        <v>23</v>
      </c>
      <c r="F222" s="18" t="s">
        <v>29</v>
      </c>
      <c r="G222" s="21">
        <v>3031.26</v>
      </c>
    </row>
    <row r="223" spans="2:7" x14ac:dyDescent="0.25">
      <c r="B223" s="19">
        <v>41626</v>
      </c>
      <c r="C223" s="20">
        <v>4</v>
      </c>
      <c r="D223" s="18" t="s">
        <v>8</v>
      </c>
      <c r="E223" s="18" t="s">
        <v>23</v>
      </c>
      <c r="F223" s="18" t="s">
        <v>33</v>
      </c>
      <c r="G223" s="21">
        <v>352.47</v>
      </c>
    </row>
    <row r="224" spans="2:7" x14ac:dyDescent="0.25">
      <c r="B224" s="19">
        <v>41491</v>
      </c>
      <c r="C224" s="20">
        <v>3</v>
      </c>
      <c r="D224" s="18" t="s">
        <v>8</v>
      </c>
      <c r="E224" s="18" t="s">
        <v>23</v>
      </c>
      <c r="F224" s="18" t="s">
        <v>32</v>
      </c>
      <c r="G224" s="21">
        <v>1176.51</v>
      </c>
    </row>
    <row r="225" spans="2:7" x14ac:dyDescent="0.25">
      <c r="B225" s="19">
        <v>41360</v>
      </c>
      <c r="C225" s="20">
        <v>1</v>
      </c>
      <c r="D225" s="18" t="s">
        <v>8</v>
      </c>
      <c r="E225" s="18" t="s">
        <v>23</v>
      </c>
      <c r="F225" s="18" t="s">
        <v>20</v>
      </c>
      <c r="G225" s="21">
        <v>197.1</v>
      </c>
    </row>
    <row r="226" spans="2:7" x14ac:dyDescent="0.25">
      <c r="B226" s="19">
        <v>41401</v>
      </c>
      <c r="C226" s="20">
        <v>2</v>
      </c>
      <c r="D226" s="18" t="s">
        <v>9</v>
      </c>
      <c r="E226" s="18" t="s">
        <v>26</v>
      </c>
      <c r="F226" s="18" t="s">
        <v>30</v>
      </c>
      <c r="G226" s="21">
        <v>2811.39</v>
      </c>
    </row>
    <row r="227" spans="2:7" x14ac:dyDescent="0.25">
      <c r="B227" s="19">
        <v>41482</v>
      </c>
      <c r="C227" s="20">
        <v>3</v>
      </c>
      <c r="D227" s="18" t="s">
        <v>25</v>
      </c>
      <c r="E227" s="18" t="s">
        <v>26</v>
      </c>
      <c r="F227" s="18" t="s">
        <v>32</v>
      </c>
      <c r="G227" s="21">
        <v>978.14</v>
      </c>
    </row>
    <row r="228" spans="2:7" x14ac:dyDescent="0.25">
      <c r="B228" s="19">
        <v>41912</v>
      </c>
      <c r="C228" s="20">
        <v>3</v>
      </c>
      <c r="D228" s="18" t="s">
        <v>18</v>
      </c>
      <c r="E228" s="18" t="s">
        <v>19</v>
      </c>
      <c r="F228" s="18" t="s">
        <v>29</v>
      </c>
      <c r="G228" s="21">
        <v>1564.38</v>
      </c>
    </row>
    <row r="229" spans="2:7" x14ac:dyDescent="0.25">
      <c r="B229" s="19">
        <v>41432</v>
      </c>
      <c r="C229" s="20">
        <v>2</v>
      </c>
      <c r="D229" s="18" t="s">
        <v>11</v>
      </c>
      <c r="E229" s="18" t="s">
        <v>23</v>
      </c>
      <c r="F229" s="18" t="s">
        <v>32</v>
      </c>
      <c r="G229" s="21">
        <v>831.6</v>
      </c>
    </row>
    <row r="230" spans="2:7" x14ac:dyDescent="0.25">
      <c r="B230" s="19">
        <v>41289</v>
      </c>
      <c r="C230" s="20">
        <v>1</v>
      </c>
      <c r="D230" s="18" t="s">
        <v>9</v>
      </c>
      <c r="E230" s="18" t="s">
        <v>26</v>
      </c>
      <c r="F230" s="18" t="s">
        <v>33</v>
      </c>
      <c r="G230" s="21">
        <v>485.55</v>
      </c>
    </row>
    <row r="231" spans="2:7" x14ac:dyDescent="0.25">
      <c r="B231" s="19">
        <v>41855</v>
      </c>
      <c r="C231" s="20">
        <v>3</v>
      </c>
      <c r="D231" s="18" t="s">
        <v>21</v>
      </c>
      <c r="E231" s="18" t="s">
        <v>19</v>
      </c>
      <c r="F231" s="18" t="s">
        <v>24</v>
      </c>
      <c r="G231" s="21">
        <v>1644.03</v>
      </c>
    </row>
    <row r="232" spans="2:7" x14ac:dyDescent="0.25">
      <c r="B232" s="19">
        <v>41896</v>
      </c>
      <c r="C232" s="20">
        <v>3</v>
      </c>
      <c r="D232" s="18" t="s">
        <v>10</v>
      </c>
      <c r="E232" s="18" t="s">
        <v>28</v>
      </c>
      <c r="F232" s="18" t="s">
        <v>32</v>
      </c>
      <c r="G232" s="21">
        <v>840.13</v>
      </c>
    </row>
    <row r="233" spans="2:7" x14ac:dyDescent="0.25">
      <c r="B233" s="19">
        <v>41792</v>
      </c>
      <c r="C233" s="20">
        <v>2</v>
      </c>
      <c r="D233" s="18" t="s">
        <v>21</v>
      </c>
      <c r="E233" s="18" t="s">
        <v>19</v>
      </c>
      <c r="F233" s="18" t="s">
        <v>33</v>
      </c>
      <c r="G233" s="21">
        <v>2961.24</v>
      </c>
    </row>
    <row r="234" spans="2:7" x14ac:dyDescent="0.25">
      <c r="B234" s="19">
        <v>41402</v>
      </c>
      <c r="C234" s="20">
        <v>2</v>
      </c>
      <c r="D234" s="18" t="s">
        <v>31</v>
      </c>
      <c r="E234" s="18" t="s">
        <v>28</v>
      </c>
      <c r="F234" s="18" t="s">
        <v>29</v>
      </c>
      <c r="G234" s="21">
        <v>644.12</v>
      </c>
    </row>
    <row r="235" spans="2:7" x14ac:dyDescent="0.25">
      <c r="B235" s="19">
        <v>41611</v>
      </c>
      <c r="C235" s="20">
        <v>4</v>
      </c>
      <c r="D235" s="18" t="s">
        <v>10</v>
      </c>
      <c r="E235" s="18" t="s">
        <v>28</v>
      </c>
      <c r="F235" s="18" t="s">
        <v>20</v>
      </c>
      <c r="G235" s="21">
        <v>762.24</v>
      </c>
    </row>
    <row r="236" spans="2:7" x14ac:dyDescent="0.25">
      <c r="B236" s="19">
        <v>41569</v>
      </c>
      <c r="C236" s="20">
        <v>4</v>
      </c>
      <c r="D236" s="18" t="s">
        <v>31</v>
      </c>
      <c r="E236" s="18" t="s">
        <v>28</v>
      </c>
      <c r="F236" s="18" t="s">
        <v>24</v>
      </c>
      <c r="G236" s="21">
        <v>1551.25</v>
      </c>
    </row>
    <row r="237" spans="2:7" x14ac:dyDescent="0.25">
      <c r="B237" s="19">
        <v>41695</v>
      </c>
      <c r="C237" s="20">
        <v>1</v>
      </c>
      <c r="D237" s="18" t="s">
        <v>25</v>
      </c>
      <c r="E237" s="18" t="s">
        <v>26</v>
      </c>
      <c r="F237" s="18" t="s">
        <v>29</v>
      </c>
      <c r="G237" s="21">
        <v>2736.86</v>
      </c>
    </row>
    <row r="238" spans="2:7" x14ac:dyDescent="0.25">
      <c r="B238" s="19">
        <v>41698</v>
      </c>
      <c r="C238" s="20">
        <v>1</v>
      </c>
      <c r="D238" s="18" t="s">
        <v>25</v>
      </c>
      <c r="E238" s="18" t="s">
        <v>26</v>
      </c>
      <c r="F238" s="18" t="s">
        <v>33</v>
      </c>
      <c r="G238" s="21">
        <v>1838.09</v>
      </c>
    </row>
    <row r="239" spans="2:7" x14ac:dyDescent="0.25">
      <c r="B239" s="19">
        <v>41659</v>
      </c>
      <c r="C239" s="20">
        <v>1</v>
      </c>
      <c r="D239" s="18" t="s">
        <v>10</v>
      </c>
      <c r="E239" s="18" t="s">
        <v>28</v>
      </c>
      <c r="F239" s="18" t="s">
        <v>22</v>
      </c>
      <c r="G239" s="21">
        <v>1647.31</v>
      </c>
    </row>
    <row r="240" spans="2:7" x14ac:dyDescent="0.25">
      <c r="B240" s="19">
        <v>41648</v>
      </c>
      <c r="C240" s="20">
        <v>1</v>
      </c>
      <c r="D240" s="18" t="s">
        <v>11</v>
      </c>
      <c r="E240" s="18" t="s">
        <v>23</v>
      </c>
      <c r="F240" s="18" t="s">
        <v>22</v>
      </c>
      <c r="G240" s="21">
        <v>1211.8</v>
      </c>
    </row>
    <row r="241" spans="2:7" x14ac:dyDescent="0.25">
      <c r="B241" s="19">
        <v>41763</v>
      </c>
      <c r="C241" s="20">
        <v>2</v>
      </c>
      <c r="D241" s="18" t="s">
        <v>18</v>
      </c>
      <c r="E241" s="18" t="s">
        <v>19</v>
      </c>
      <c r="F241" s="18" t="s">
        <v>33</v>
      </c>
      <c r="G241" s="21">
        <v>228.03</v>
      </c>
    </row>
    <row r="242" spans="2:7" x14ac:dyDescent="0.25">
      <c r="B242" s="19">
        <v>41569</v>
      </c>
      <c r="C242" s="20">
        <v>4</v>
      </c>
      <c r="D242" s="18" t="s">
        <v>10</v>
      </c>
      <c r="E242" s="18" t="s">
        <v>28</v>
      </c>
      <c r="F242" s="18" t="s">
        <v>30</v>
      </c>
      <c r="G242" s="21">
        <v>2221.9899999999998</v>
      </c>
    </row>
    <row r="243" spans="2:7" x14ac:dyDescent="0.25">
      <c r="B243" s="19">
        <v>41629</v>
      </c>
      <c r="C243" s="20">
        <v>4</v>
      </c>
      <c r="D243" s="18" t="s">
        <v>11</v>
      </c>
      <c r="E243" s="18" t="s">
        <v>23</v>
      </c>
      <c r="F243" s="18" t="s">
        <v>29</v>
      </c>
      <c r="G243" s="21">
        <v>1451.54</v>
      </c>
    </row>
    <row r="244" spans="2:7" x14ac:dyDescent="0.25">
      <c r="B244" s="19">
        <v>41364</v>
      </c>
      <c r="C244" s="20">
        <v>1</v>
      </c>
      <c r="D244" s="18" t="s">
        <v>31</v>
      </c>
      <c r="E244" s="18" t="s">
        <v>28</v>
      </c>
      <c r="F244" s="18" t="s">
        <v>22</v>
      </c>
      <c r="G244" s="21">
        <v>1475.45</v>
      </c>
    </row>
    <row r="245" spans="2:7" x14ac:dyDescent="0.25">
      <c r="B245" s="19">
        <v>41965</v>
      </c>
      <c r="C245" s="20">
        <v>4</v>
      </c>
      <c r="D245" s="18" t="s">
        <v>9</v>
      </c>
      <c r="E245" s="18" t="s">
        <v>26</v>
      </c>
      <c r="F245" s="18" t="s">
        <v>24</v>
      </c>
      <c r="G245" s="21">
        <v>696.55</v>
      </c>
    </row>
    <row r="246" spans="2:7" x14ac:dyDescent="0.25">
      <c r="B246" s="19">
        <v>41837</v>
      </c>
      <c r="C246" s="20">
        <v>3</v>
      </c>
      <c r="D246" s="18" t="s">
        <v>11</v>
      </c>
      <c r="E246" s="18" t="s">
        <v>23</v>
      </c>
      <c r="F246" s="18" t="s">
        <v>33</v>
      </c>
      <c r="G246" s="21">
        <v>965.15</v>
      </c>
    </row>
    <row r="247" spans="2:7" x14ac:dyDescent="0.25">
      <c r="B247" s="19">
        <v>41588</v>
      </c>
      <c r="C247" s="20">
        <v>4</v>
      </c>
      <c r="D247" s="18" t="s">
        <v>31</v>
      </c>
      <c r="E247" s="18" t="s">
        <v>28</v>
      </c>
      <c r="F247" s="18" t="s">
        <v>30</v>
      </c>
      <c r="G247" s="21">
        <v>1445.37</v>
      </c>
    </row>
    <row r="248" spans="2:7" x14ac:dyDescent="0.25">
      <c r="B248" s="19">
        <v>41581</v>
      </c>
      <c r="C248" s="20">
        <v>4</v>
      </c>
      <c r="D248" s="18" t="s">
        <v>31</v>
      </c>
      <c r="E248" s="18" t="s">
        <v>28</v>
      </c>
      <c r="F248" s="18" t="s">
        <v>27</v>
      </c>
      <c r="G248" s="21">
        <v>749.86</v>
      </c>
    </row>
    <row r="249" spans="2:7" x14ac:dyDescent="0.25">
      <c r="B249" s="19">
        <v>41722</v>
      </c>
      <c r="C249" s="20">
        <v>1</v>
      </c>
      <c r="D249" s="18" t="s">
        <v>21</v>
      </c>
      <c r="E249" s="18" t="s">
        <v>19</v>
      </c>
      <c r="F249" s="18" t="s">
        <v>22</v>
      </c>
      <c r="G249" s="21">
        <v>1718.87</v>
      </c>
    </row>
    <row r="250" spans="2:7" x14ac:dyDescent="0.25">
      <c r="B250" s="19">
        <v>41444</v>
      </c>
      <c r="C250" s="20">
        <v>2</v>
      </c>
      <c r="D250" s="18" t="s">
        <v>9</v>
      </c>
      <c r="E250" s="18" t="s">
        <v>26</v>
      </c>
      <c r="F250" s="18" t="s">
        <v>30</v>
      </c>
      <c r="G250" s="21">
        <v>2125.2399999999998</v>
      </c>
    </row>
    <row r="251" spans="2:7" x14ac:dyDescent="0.25">
      <c r="B251" s="19">
        <v>41282</v>
      </c>
      <c r="C251" s="20">
        <v>1</v>
      </c>
      <c r="D251" s="18" t="s">
        <v>11</v>
      </c>
      <c r="E251" s="18" t="s">
        <v>23</v>
      </c>
      <c r="F251" s="18" t="s">
        <v>29</v>
      </c>
      <c r="G251" s="21">
        <v>2390.14</v>
      </c>
    </row>
    <row r="252" spans="2:7" x14ac:dyDescent="0.25">
      <c r="B252" s="19">
        <v>41493</v>
      </c>
      <c r="C252" s="20">
        <v>3</v>
      </c>
      <c r="D252" s="18" t="s">
        <v>11</v>
      </c>
      <c r="E252" s="18" t="s">
        <v>23</v>
      </c>
      <c r="F252" s="18" t="s">
        <v>20</v>
      </c>
      <c r="G252" s="21">
        <v>136.81</v>
      </c>
    </row>
    <row r="253" spans="2:7" x14ac:dyDescent="0.25">
      <c r="B253" s="19">
        <v>41938</v>
      </c>
      <c r="C253" s="20">
        <v>4</v>
      </c>
      <c r="D253" s="18" t="s">
        <v>21</v>
      </c>
      <c r="E253" s="18" t="s">
        <v>19</v>
      </c>
      <c r="F253" s="18" t="s">
        <v>27</v>
      </c>
      <c r="G253" s="21">
        <v>988.97</v>
      </c>
    </row>
    <row r="254" spans="2:7" x14ac:dyDescent="0.25">
      <c r="B254" s="19">
        <v>41910</v>
      </c>
      <c r="C254" s="20">
        <v>3</v>
      </c>
      <c r="D254" s="18" t="s">
        <v>11</v>
      </c>
      <c r="E254" s="18" t="s">
        <v>23</v>
      </c>
      <c r="F254" s="18" t="s">
        <v>29</v>
      </c>
      <c r="G254" s="21">
        <v>1125.82</v>
      </c>
    </row>
    <row r="255" spans="2:7" x14ac:dyDescent="0.25">
      <c r="B255" s="19">
        <v>41863</v>
      </c>
      <c r="C255" s="20">
        <v>3</v>
      </c>
      <c r="D255" s="18" t="s">
        <v>25</v>
      </c>
      <c r="E255" s="18" t="s">
        <v>26</v>
      </c>
      <c r="F255" s="18" t="s">
        <v>20</v>
      </c>
      <c r="G255" s="21">
        <v>256.77</v>
      </c>
    </row>
    <row r="256" spans="2:7" x14ac:dyDescent="0.25">
      <c r="B256" s="19">
        <v>41536</v>
      </c>
      <c r="C256" s="20">
        <v>3</v>
      </c>
      <c r="D256" s="18" t="s">
        <v>9</v>
      </c>
      <c r="E256" s="18" t="s">
        <v>26</v>
      </c>
      <c r="F256" s="18" t="s">
        <v>30</v>
      </c>
      <c r="G256" s="21">
        <v>153.68</v>
      </c>
    </row>
    <row r="257" spans="2:7" x14ac:dyDescent="0.25">
      <c r="B257" s="19">
        <v>42003</v>
      </c>
      <c r="C257" s="20">
        <v>4</v>
      </c>
      <c r="D257" s="18" t="s">
        <v>9</v>
      </c>
      <c r="E257" s="18" t="s">
        <v>26</v>
      </c>
      <c r="F257" s="18" t="s">
        <v>20</v>
      </c>
      <c r="G257" s="21">
        <v>534.16</v>
      </c>
    </row>
    <row r="258" spans="2:7" x14ac:dyDescent="0.25">
      <c r="B258" s="19">
        <v>41731</v>
      </c>
      <c r="C258" s="20">
        <v>2</v>
      </c>
      <c r="D258" s="18" t="s">
        <v>18</v>
      </c>
      <c r="E258" s="18" t="s">
        <v>19</v>
      </c>
      <c r="F258" s="18" t="s">
        <v>29</v>
      </c>
      <c r="G258" s="21">
        <v>930.96</v>
      </c>
    </row>
    <row r="259" spans="2:7" x14ac:dyDescent="0.25">
      <c r="B259" s="19">
        <v>41994</v>
      </c>
      <c r="C259" s="20">
        <v>4</v>
      </c>
      <c r="D259" s="18" t="s">
        <v>25</v>
      </c>
      <c r="E259" s="18" t="s">
        <v>26</v>
      </c>
      <c r="F259" s="18" t="s">
        <v>29</v>
      </c>
      <c r="G259" s="21">
        <v>1193.42</v>
      </c>
    </row>
    <row r="260" spans="2:7" x14ac:dyDescent="0.25">
      <c r="B260" s="19">
        <v>41392</v>
      </c>
      <c r="C260" s="20">
        <v>2</v>
      </c>
      <c r="D260" s="18" t="s">
        <v>10</v>
      </c>
      <c r="E260" s="18" t="s">
        <v>28</v>
      </c>
      <c r="F260" s="18" t="s">
        <v>33</v>
      </c>
      <c r="G260" s="21">
        <v>1199.82</v>
      </c>
    </row>
    <row r="261" spans="2:7" x14ac:dyDescent="0.25">
      <c r="B261" s="19">
        <v>41453</v>
      </c>
      <c r="C261" s="20">
        <v>2</v>
      </c>
      <c r="D261" s="18" t="s">
        <v>25</v>
      </c>
      <c r="E261" s="18" t="s">
        <v>26</v>
      </c>
      <c r="F261" s="18" t="s">
        <v>20</v>
      </c>
      <c r="G261" s="21">
        <v>247.9</v>
      </c>
    </row>
    <row r="262" spans="2:7" x14ac:dyDescent="0.25">
      <c r="B262" s="19">
        <v>41870</v>
      </c>
      <c r="C262" s="20">
        <v>3</v>
      </c>
      <c r="D262" s="18" t="s">
        <v>18</v>
      </c>
      <c r="E262" s="18" t="s">
        <v>19</v>
      </c>
      <c r="F262" s="18" t="s">
        <v>27</v>
      </c>
      <c r="G262" s="21">
        <v>1359.57</v>
      </c>
    </row>
    <row r="263" spans="2:7" x14ac:dyDescent="0.25">
      <c r="B263" s="19">
        <v>41849</v>
      </c>
      <c r="C263" s="20">
        <v>3</v>
      </c>
      <c r="D263" s="18" t="s">
        <v>18</v>
      </c>
      <c r="E263" s="18" t="s">
        <v>19</v>
      </c>
      <c r="F263" s="18" t="s">
        <v>32</v>
      </c>
      <c r="G263" s="21">
        <v>1631.28</v>
      </c>
    </row>
    <row r="264" spans="2:7" x14ac:dyDescent="0.25">
      <c r="B264" s="19">
        <v>41723</v>
      </c>
      <c r="C264" s="20">
        <v>1</v>
      </c>
      <c r="D264" s="18" t="s">
        <v>10</v>
      </c>
      <c r="E264" s="18" t="s">
        <v>28</v>
      </c>
      <c r="F264" s="18" t="s">
        <v>33</v>
      </c>
      <c r="G264" s="21">
        <v>1194.1400000000001</v>
      </c>
    </row>
    <row r="265" spans="2:7" x14ac:dyDescent="0.25">
      <c r="B265" s="19">
        <v>41806</v>
      </c>
      <c r="C265" s="20">
        <v>2</v>
      </c>
      <c r="D265" s="18" t="s">
        <v>31</v>
      </c>
      <c r="E265" s="18" t="s">
        <v>28</v>
      </c>
      <c r="F265" s="18" t="s">
        <v>30</v>
      </c>
      <c r="G265" s="21">
        <v>1373.14</v>
      </c>
    </row>
    <row r="266" spans="2:7" x14ac:dyDescent="0.25">
      <c r="B266" s="19">
        <v>41294</v>
      </c>
      <c r="C266" s="20">
        <v>1</v>
      </c>
      <c r="D266" s="18" t="s">
        <v>31</v>
      </c>
      <c r="E266" s="18" t="s">
        <v>28</v>
      </c>
      <c r="F266" s="18" t="s">
        <v>20</v>
      </c>
      <c r="G266" s="21">
        <v>660.09</v>
      </c>
    </row>
    <row r="267" spans="2:7" x14ac:dyDescent="0.25">
      <c r="B267" s="19">
        <v>41607</v>
      </c>
      <c r="C267" s="20">
        <v>4</v>
      </c>
      <c r="D267" s="18" t="s">
        <v>11</v>
      </c>
      <c r="E267" s="18" t="s">
        <v>23</v>
      </c>
      <c r="F267" s="18" t="s">
        <v>22</v>
      </c>
      <c r="G267" s="21">
        <v>320.31</v>
      </c>
    </row>
    <row r="268" spans="2:7" x14ac:dyDescent="0.25">
      <c r="B268" s="19">
        <v>41838</v>
      </c>
      <c r="C268" s="20">
        <v>3</v>
      </c>
      <c r="D268" s="18" t="s">
        <v>21</v>
      </c>
      <c r="E268" s="18" t="s">
        <v>19</v>
      </c>
      <c r="F268" s="18" t="s">
        <v>30</v>
      </c>
      <c r="G268" s="21">
        <v>823.67</v>
      </c>
    </row>
    <row r="269" spans="2:7" x14ac:dyDescent="0.25">
      <c r="B269" s="19">
        <v>41624</v>
      </c>
      <c r="C269" s="20">
        <v>4</v>
      </c>
      <c r="D269" s="18" t="s">
        <v>11</v>
      </c>
      <c r="E269" s="18" t="s">
        <v>23</v>
      </c>
      <c r="F269" s="18" t="s">
        <v>27</v>
      </c>
      <c r="G269" s="21">
        <v>174.67</v>
      </c>
    </row>
    <row r="270" spans="2:7" x14ac:dyDescent="0.25">
      <c r="B270" s="19">
        <v>41735</v>
      </c>
      <c r="C270" s="20">
        <v>2</v>
      </c>
      <c r="D270" s="18" t="s">
        <v>18</v>
      </c>
      <c r="E270" s="18" t="s">
        <v>19</v>
      </c>
      <c r="F270" s="18" t="s">
        <v>30</v>
      </c>
      <c r="G270" s="21">
        <v>1326.42</v>
      </c>
    </row>
    <row r="271" spans="2:7" x14ac:dyDescent="0.25">
      <c r="B271" s="19">
        <v>41453</v>
      </c>
      <c r="C271" s="20">
        <v>2</v>
      </c>
      <c r="D271" s="18" t="s">
        <v>8</v>
      </c>
      <c r="E271" s="18" t="s">
        <v>23</v>
      </c>
      <c r="F271" s="18" t="s">
        <v>33</v>
      </c>
      <c r="G271" s="21">
        <v>2713.56</v>
      </c>
    </row>
    <row r="272" spans="2:7" x14ac:dyDescent="0.25">
      <c r="B272" s="19">
        <v>41362</v>
      </c>
      <c r="C272" s="20">
        <v>1</v>
      </c>
      <c r="D272" s="18" t="s">
        <v>9</v>
      </c>
      <c r="E272" s="18" t="s">
        <v>26</v>
      </c>
      <c r="F272" s="18" t="s">
        <v>22</v>
      </c>
      <c r="G272" s="21">
        <v>1278.56</v>
      </c>
    </row>
    <row r="273" spans="2:7" x14ac:dyDescent="0.25">
      <c r="B273" s="19">
        <v>41784</v>
      </c>
      <c r="C273" s="20">
        <v>2</v>
      </c>
      <c r="D273" s="18" t="s">
        <v>10</v>
      </c>
      <c r="E273" s="18" t="s">
        <v>28</v>
      </c>
      <c r="F273" s="18" t="s">
        <v>30</v>
      </c>
      <c r="G273" s="21">
        <v>692.23</v>
      </c>
    </row>
    <row r="274" spans="2:7" x14ac:dyDescent="0.25">
      <c r="B274" s="19">
        <v>41483</v>
      </c>
      <c r="C274" s="20">
        <v>3</v>
      </c>
      <c r="D274" s="18" t="s">
        <v>11</v>
      </c>
      <c r="E274" s="18" t="s">
        <v>23</v>
      </c>
      <c r="F274" s="18" t="s">
        <v>24</v>
      </c>
      <c r="G274" s="21">
        <v>1010.08</v>
      </c>
    </row>
    <row r="275" spans="2:7" x14ac:dyDescent="0.25">
      <c r="B275" s="19">
        <v>41445</v>
      </c>
      <c r="C275" s="20">
        <v>2</v>
      </c>
      <c r="D275" s="18" t="s">
        <v>21</v>
      </c>
      <c r="E275" s="18" t="s">
        <v>19</v>
      </c>
      <c r="F275" s="18" t="s">
        <v>27</v>
      </c>
      <c r="G275" s="21">
        <v>171.35</v>
      </c>
    </row>
    <row r="276" spans="2:7" x14ac:dyDescent="0.25">
      <c r="B276" s="19">
        <v>41708</v>
      </c>
      <c r="C276" s="20">
        <v>1</v>
      </c>
      <c r="D276" s="18" t="s">
        <v>10</v>
      </c>
      <c r="E276" s="18" t="s">
        <v>28</v>
      </c>
      <c r="F276" s="18" t="s">
        <v>24</v>
      </c>
      <c r="G276" s="21">
        <v>1613.39</v>
      </c>
    </row>
    <row r="277" spans="2:7" x14ac:dyDescent="0.25">
      <c r="B277" s="19">
        <v>41433</v>
      </c>
      <c r="C277" s="20">
        <v>2</v>
      </c>
      <c r="D277" s="18" t="s">
        <v>18</v>
      </c>
      <c r="E277" s="18" t="s">
        <v>19</v>
      </c>
      <c r="F277" s="18" t="s">
        <v>20</v>
      </c>
      <c r="G277" s="21">
        <v>139.28</v>
      </c>
    </row>
    <row r="278" spans="2:7" x14ac:dyDescent="0.25">
      <c r="B278" s="19">
        <v>41594</v>
      </c>
      <c r="C278" s="20">
        <v>4</v>
      </c>
      <c r="D278" s="18" t="s">
        <v>25</v>
      </c>
      <c r="E278" s="18" t="s">
        <v>26</v>
      </c>
      <c r="F278" s="18" t="s">
        <v>29</v>
      </c>
      <c r="G278" s="21">
        <v>1579.3</v>
      </c>
    </row>
    <row r="279" spans="2:7" x14ac:dyDescent="0.25">
      <c r="B279" s="19">
        <v>41693</v>
      </c>
      <c r="C279" s="20">
        <v>1</v>
      </c>
      <c r="D279" s="18" t="s">
        <v>31</v>
      </c>
      <c r="E279" s="18" t="s">
        <v>28</v>
      </c>
      <c r="F279" s="18" t="s">
        <v>27</v>
      </c>
      <c r="G279" s="21">
        <v>1154.1600000000001</v>
      </c>
    </row>
    <row r="280" spans="2:7" x14ac:dyDescent="0.25">
      <c r="B280" s="19">
        <v>41367</v>
      </c>
      <c r="C280" s="20">
        <v>2</v>
      </c>
      <c r="D280" s="18" t="s">
        <v>31</v>
      </c>
      <c r="E280" s="18" t="s">
        <v>28</v>
      </c>
      <c r="F280" s="18" t="s">
        <v>33</v>
      </c>
      <c r="G280" s="21">
        <v>1570.37</v>
      </c>
    </row>
    <row r="281" spans="2:7" x14ac:dyDescent="0.25">
      <c r="B281" s="19">
        <v>41735</v>
      </c>
      <c r="C281" s="20">
        <v>2</v>
      </c>
      <c r="D281" s="18" t="s">
        <v>31</v>
      </c>
      <c r="E281" s="18" t="s">
        <v>28</v>
      </c>
      <c r="F281" s="18" t="s">
        <v>29</v>
      </c>
      <c r="G281" s="21">
        <v>3791.92</v>
      </c>
    </row>
    <row r="282" spans="2:7" x14ac:dyDescent="0.25">
      <c r="B282" s="19">
        <v>41474</v>
      </c>
      <c r="C282" s="20">
        <v>3</v>
      </c>
      <c r="D282" s="18" t="s">
        <v>8</v>
      </c>
      <c r="E282" s="18" t="s">
        <v>23</v>
      </c>
      <c r="F282" s="18" t="s">
        <v>33</v>
      </c>
      <c r="G282" s="21">
        <v>1727</v>
      </c>
    </row>
    <row r="283" spans="2:7" x14ac:dyDescent="0.25">
      <c r="B283" s="19">
        <v>41716</v>
      </c>
      <c r="C283" s="20">
        <v>1</v>
      </c>
      <c r="D283" s="18" t="s">
        <v>11</v>
      </c>
      <c r="E283" s="18" t="s">
        <v>23</v>
      </c>
      <c r="F283" s="18" t="s">
        <v>24</v>
      </c>
      <c r="G283" s="21">
        <v>1341.74</v>
      </c>
    </row>
    <row r="284" spans="2:7" x14ac:dyDescent="0.25">
      <c r="B284" s="19">
        <v>41841</v>
      </c>
      <c r="C284" s="20">
        <v>3</v>
      </c>
      <c r="D284" s="18" t="s">
        <v>11</v>
      </c>
      <c r="E284" s="18" t="s">
        <v>23</v>
      </c>
      <c r="F284" s="18" t="s">
        <v>33</v>
      </c>
      <c r="G284" s="21">
        <v>632.52</v>
      </c>
    </row>
    <row r="285" spans="2:7" x14ac:dyDescent="0.25">
      <c r="B285" s="19">
        <v>41347</v>
      </c>
      <c r="C285" s="20">
        <v>1</v>
      </c>
      <c r="D285" s="18" t="s">
        <v>31</v>
      </c>
      <c r="E285" s="18" t="s">
        <v>28</v>
      </c>
      <c r="F285" s="18" t="s">
        <v>33</v>
      </c>
      <c r="G285" s="21">
        <v>2148.36</v>
      </c>
    </row>
    <row r="286" spans="2:7" x14ac:dyDescent="0.25">
      <c r="B286" s="19">
        <v>41599</v>
      </c>
      <c r="C286" s="20">
        <v>4</v>
      </c>
      <c r="D286" s="18" t="s">
        <v>31</v>
      </c>
      <c r="E286" s="18" t="s">
        <v>28</v>
      </c>
      <c r="F286" s="18" t="s">
        <v>20</v>
      </c>
      <c r="G286" s="21">
        <v>92.36</v>
      </c>
    </row>
    <row r="287" spans="2:7" x14ac:dyDescent="0.25">
      <c r="B287" s="19">
        <v>41696</v>
      </c>
      <c r="C287" s="20">
        <v>1</v>
      </c>
      <c r="D287" s="18" t="s">
        <v>21</v>
      </c>
      <c r="E287" s="18" t="s">
        <v>19</v>
      </c>
      <c r="F287" s="18" t="s">
        <v>24</v>
      </c>
      <c r="G287" s="21">
        <v>1768.59</v>
      </c>
    </row>
    <row r="288" spans="2:7" x14ac:dyDescent="0.25">
      <c r="B288" s="19">
        <v>41952</v>
      </c>
      <c r="C288" s="20">
        <v>4</v>
      </c>
      <c r="D288" s="18" t="s">
        <v>25</v>
      </c>
      <c r="E288" s="18" t="s">
        <v>26</v>
      </c>
      <c r="F288" s="18" t="s">
        <v>24</v>
      </c>
      <c r="G288" s="21">
        <v>953.25</v>
      </c>
    </row>
    <row r="289" spans="2:7" x14ac:dyDescent="0.25">
      <c r="B289" s="19">
        <v>41788</v>
      </c>
      <c r="C289" s="20">
        <v>2</v>
      </c>
      <c r="D289" s="18" t="s">
        <v>8</v>
      </c>
      <c r="E289" s="18" t="s">
        <v>23</v>
      </c>
      <c r="F289" s="18" t="s">
        <v>27</v>
      </c>
      <c r="G289" s="21">
        <v>330.29</v>
      </c>
    </row>
    <row r="290" spans="2:7" x14ac:dyDescent="0.25">
      <c r="B290" s="19">
        <v>41636</v>
      </c>
      <c r="C290" s="20">
        <v>4</v>
      </c>
      <c r="D290" s="18" t="s">
        <v>9</v>
      </c>
      <c r="E290" s="18" t="s">
        <v>26</v>
      </c>
      <c r="F290" s="18" t="s">
        <v>27</v>
      </c>
      <c r="G290" s="21">
        <v>1303.93</v>
      </c>
    </row>
    <row r="291" spans="2:7" x14ac:dyDescent="0.25">
      <c r="B291" s="19">
        <v>41977</v>
      </c>
      <c r="C291" s="20">
        <v>4</v>
      </c>
      <c r="D291" s="18" t="s">
        <v>8</v>
      </c>
      <c r="E291" s="18" t="s">
        <v>23</v>
      </c>
      <c r="F291" s="18" t="s">
        <v>32</v>
      </c>
      <c r="G291" s="21">
        <v>1995.38</v>
      </c>
    </row>
    <row r="292" spans="2:7" x14ac:dyDescent="0.25">
      <c r="B292" s="19">
        <v>41777</v>
      </c>
      <c r="C292" s="20">
        <v>2</v>
      </c>
      <c r="D292" s="18" t="s">
        <v>25</v>
      </c>
      <c r="E292" s="18" t="s">
        <v>26</v>
      </c>
      <c r="F292" s="18" t="s">
        <v>24</v>
      </c>
      <c r="G292" s="21">
        <v>831.83</v>
      </c>
    </row>
    <row r="293" spans="2:7" x14ac:dyDescent="0.25">
      <c r="B293" s="19">
        <v>41785</v>
      </c>
      <c r="C293" s="20">
        <v>2</v>
      </c>
      <c r="D293" s="18" t="s">
        <v>25</v>
      </c>
      <c r="E293" s="18" t="s">
        <v>26</v>
      </c>
      <c r="F293" s="18" t="s">
        <v>29</v>
      </c>
      <c r="G293" s="21">
        <v>1135.7</v>
      </c>
    </row>
    <row r="294" spans="2:7" x14ac:dyDescent="0.25">
      <c r="B294" s="19">
        <v>41904</v>
      </c>
      <c r="C294" s="20">
        <v>3</v>
      </c>
      <c r="D294" s="18" t="s">
        <v>11</v>
      </c>
      <c r="E294" s="18" t="s">
        <v>23</v>
      </c>
      <c r="F294" s="18" t="s">
        <v>20</v>
      </c>
      <c r="G294" s="21">
        <v>456.36</v>
      </c>
    </row>
    <row r="295" spans="2:7" x14ac:dyDescent="0.25">
      <c r="B295" s="19">
        <v>41695</v>
      </c>
      <c r="C295" s="20">
        <v>1</v>
      </c>
      <c r="D295" s="18" t="s">
        <v>25</v>
      </c>
      <c r="E295" s="18" t="s">
        <v>26</v>
      </c>
      <c r="F295" s="18" t="s">
        <v>33</v>
      </c>
      <c r="G295" s="21">
        <v>2242.37</v>
      </c>
    </row>
    <row r="296" spans="2:7" x14ac:dyDescent="0.25">
      <c r="B296" s="19">
        <v>41460</v>
      </c>
      <c r="C296" s="20">
        <v>3</v>
      </c>
      <c r="D296" s="18" t="s">
        <v>31</v>
      </c>
      <c r="E296" s="18" t="s">
        <v>28</v>
      </c>
      <c r="F296" s="18" t="s">
        <v>29</v>
      </c>
      <c r="G296" s="21">
        <v>3881.88</v>
      </c>
    </row>
    <row r="297" spans="2:7" x14ac:dyDescent="0.25">
      <c r="B297" s="19">
        <v>41845</v>
      </c>
      <c r="C297" s="20">
        <v>3</v>
      </c>
      <c r="D297" s="18" t="s">
        <v>11</v>
      </c>
      <c r="E297" s="18" t="s">
        <v>23</v>
      </c>
      <c r="F297" s="18" t="s">
        <v>32</v>
      </c>
      <c r="G297" s="21">
        <v>217.5</v>
      </c>
    </row>
    <row r="298" spans="2:7" x14ac:dyDescent="0.25">
      <c r="B298" s="19">
        <v>41423</v>
      </c>
      <c r="C298" s="20">
        <v>2</v>
      </c>
      <c r="D298" s="18" t="s">
        <v>8</v>
      </c>
      <c r="E298" s="18" t="s">
        <v>23</v>
      </c>
      <c r="F298" s="18" t="s">
        <v>33</v>
      </c>
      <c r="G298" s="21">
        <v>1553.6</v>
      </c>
    </row>
    <row r="299" spans="2:7" x14ac:dyDescent="0.25">
      <c r="B299" s="19">
        <v>41380</v>
      </c>
      <c r="C299" s="20">
        <v>2</v>
      </c>
      <c r="D299" s="18" t="s">
        <v>18</v>
      </c>
      <c r="E299" s="18" t="s">
        <v>19</v>
      </c>
      <c r="F299" s="18" t="s">
        <v>29</v>
      </c>
      <c r="G299" s="21">
        <v>2048.06</v>
      </c>
    </row>
    <row r="300" spans="2:7" x14ac:dyDescent="0.25">
      <c r="B300" s="19">
        <v>41476</v>
      </c>
      <c r="C300" s="20">
        <v>3</v>
      </c>
      <c r="D300" s="18" t="s">
        <v>11</v>
      </c>
      <c r="E300" s="18" t="s">
        <v>23</v>
      </c>
      <c r="F300" s="18" t="s">
        <v>33</v>
      </c>
      <c r="G300" s="21">
        <v>1623.8</v>
      </c>
    </row>
    <row r="301" spans="2:7" x14ac:dyDescent="0.25">
      <c r="B301" s="19">
        <v>41603</v>
      </c>
      <c r="C301" s="20">
        <v>4</v>
      </c>
      <c r="D301" s="18" t="s">
        <v>10</v>
      </c>
      <c r="E301" s="18" t="s">
        <v>28</v>
      </c>
      <c r="F301" s="18" t="s">
        <v>29</v>
      </c>
      <c r="G301" s="21">
        <v>3161.46</v>
      </c>
    </row>
    <row r="302" spans="2:7" x14ac:dyDescent="0.25">
      <c r="B302" s="19">
        <v>41539</v>
      </c>
      <c r="C302" s="20">
        <v>3</v>
      </c>
      <c r="D302" s="18" t="s">
        <v>10</v>
      </c>
      <c r="E302" s="18" t="s">
        <v>28</v>
      </c>
      <c r="F302" s="18" t="s">
        <v>24</v>
      </c>
      <c r="G302" s="21">
        <v>1692.95</v>
      </c>
    </row>
    <row r="303" spans="2:7" x14ac:dyDescent="0.25">
      <c r="B303" s="19">
        <v>41904</v>
      </c>
      <c r="C303" s="20">
        <v>3</v>
      </c>
      <c r="D303" s="18" t="s">
        <v>11</v>
      </c>
      <c r="E303" s="18" t="s">
        <v>23</v>
      </c>
      <c r="F303" s="18" t="s">
        <v>22</v>
      </c>
      <c r="G303" s="21">
        <v>101.85</v>
      </c>
    </row>
    <row r="304" spans="2:7" x14ac:dyDescent="0.25">
      <c r="B304" s="19">
        <v>41817</v>
      </c>
      <c r="C304" s="20">
        <v>2</v>
      </c>
      <c r="D304" s="18" t="s">
        <v>8</v>
      </c>
      <c r="E304" s="18" t="s">
        <v>23</v>
      </c>
      <c r="F304" s="18" t="s">
        <v>29</v>
      </c>
      <c r="G304" s="21">
        <v>361.9</v>
      </c>
    </row>
    <row r="305" spans="2:7" x14ac:dyDescent="0.25">
      <c r="B305" s="19">
        <v>41471</v>
      </c>
      <c r="C305" s="20">
        <v>3</v>
      </c>
      <c r="D305" s="18" t="s">
        <v>21</v>
      </c>
      <c r="E305" s="18" t="s">
        <v>19</v>
      </c>
      <c r="F305" s="18" t="s">
        <v>27</v>
      </c>
      <c r="G305" s="21">
        <v>1371.89</v>
      </c>
    </row>
    <row r="306" spans="2:7" x14ac:dyDescent="0.25">
      <c r="B306" s="19">
        <v>41566</v>
      </c>
      <c r="C306" s="20">
        <v>4</v>
      </c>
      <c r="D306" s="18" t="s">
        <v>18</v>
      </c>
      <c r="E306" s="18" t="s">
        <v>19</v>
      </c>
      <c r="F306" s="18" t="s">
        <v>33</v>
      </c>
      <c r="G306" s="21">
        <v>302.83999999999997</v>
      </c>
    </row>
    <row r="307" spans="2:7" x14ac:dyDescent="0.25">
      <c r="B307" s="19">
        <v>41444</v>
      </c>
      <c r="C307" s="20">
        <v>2</v>
      </c>
      <c r="D307" s="18" t="s">
        <v>8</v>
      </c>
      <c r="E307" s="18" t="s">
        <v>23</v>
      </c>
      <c r="F307" s="18" t="s">
        <v>24</v>
      </c>
      <c r="G307" s="21">
        <v>1322.41</v>
      </c>
    </row>
    <row r="308" spans="2:7" x14ac:dyDescent="0.25">
      <c r="B308" s="19">
        <v>41655</v>
      </c>
      <c r="C308" s="20">
        <v>1</v>
      </c>
      <c r="D308" s="18" t="s">
        <v>10</v>
      </c>
      <c r="E308" s="18" t="s">
        <v>28</v>
      </c>
      <c r="F308" s="18" t="s">
        <v>29</v>
      </c>
      <c r="G308" s="21">
        <v>513.86</v>
      </c>
    </row>
    <row r="309" spans="2:7" x14ac:dyDescent="0.25">
      <c r="B309" s="19">
        <v>41383</v>
      </c>
      <c r="C309" s="20">
        <v>2</v>
      </c>
      <c r="D309" s="18" t="s">
        <v>21</v>
      </c>
      <c r="E309" s="18" t="s">
        <v>19</v>
      </c>
      <c r="F309" s="18" t="s">
        <v>30</v>
      </c>
      <c r="G309" s="21">
        <v>770.27</v>
      </c>
    </row>
    <row r="310" spans="2:7" x14ac:dyDescent="0.25">
      <c r="B310" s="19">
        <v>41812</v>
      </c>
      <c r="C310" s="20">
        <v>2</v>
      </c>
      <c r="D310" s="18" t="s">
        <v>31</v>
      </c>
      <c r="E310" s="18" t="s">
        <v>28</v>
      </c>
      <c r="F310" s="18" t="s">
        <v>27</v>
      </c>
      <c r="G310" s="21">
        <v>222.12</v>
      </c>
    </row>
    <row r="311" spans="2:7" x14ac:dyDescent="0.25">
      <c r="B311" s="19">
        <v>41629</v>
      </c>
      <c r="C311" s="20">
        <v>4</v>
      </c>
      <c r="D311" s="18" t="s">
        <v>9</v>
      </c>
      <c r="E311" s="18" t="s">
        <v>26</v>
      </c>
      <c r="F311" s="18" t="s">
        <v>27</v>
      </c>
      <c r="G311" s="21">
        <v>457.64</v>
      </c>
    </row>
    <row r="312" spans="2:7" x14ac:dyDescent="0.25">
      <c r="B312" s="19">
        <v>41377</v>
      </c>
      <c r="C312" s="20">
        <v>2</v>
      </c>
      <c r="D312" s="18" t="s">
        <v>25</v>
      </c>
      <c r="E312" s="18" t="s">
        <v>26</v>
      </c>
      <c r="F312" s="18" t="s">
        <v>29</v>
      </c>
      <c r="G312" s="21">
        <v>1804.28</v>
      </c>
    </row>
    <row r="313" spans="2:7" x14ac:dyDescent="0.25">
      <c r="B313" s="19">
        <v>41710</v>
      </c>
      <c r="C313" s="20">
        <v>1</v>
      </c>
      <c r="D313" s="18" t="s">
        <v>10</v>
      </c>
      <c r="E313" s="18" t="s">
        <v>28</v>
      </c>
      <c r="F313" s="18" t="s">
        <v>27</v>
      </c>
      <c r="G313" s="21">
        <v>760.86</v>
      </c>
    </row>
    <row r="314" spans="2:7" x14ac:dyDescent="0.25">
      <c r="B314" s="19">
        <v>41999</v>
      </c>
      <c r="C314" s="20">
        <v>4</v>
      </c>
      <c r="D314" s="18" t="s">
        <v>25</v>
      </c>
      <c r="E314" s="18" t="s">
        <v>26</v>
      </c>
      <c r="F314" s="18" t="s">
        <v>20</v>
      </c>
      <c r="G314" s="21">
        <v>159.04</v>
      </c>
    </row>
    <row r="315" spans="2:7" x14ac:dyDescent="0.25">
      <c r="B315" s="19">
        <v>41412</v>
      </c>
      <c r="C315" s="20">
        <v>2</v>
      </c>
      <c r="D315" s="18" t="s">
        <v>18</v>
      </c>
      <c r="E315" s="18" t="s">
        <v>19</v>
      </c>
      <c r="F315" s="18" t="s">
        <v>24</v>
      </c>
      <c r="G315" s="21">
        <v>1845.16</v>
      </c>
    </row>
    <row r="316" spans="2:7" x14ac:dyDescent="0.25">
      <c r="B316" s="19">
        <v>41275</v>
      </c>
      <c r="C316" s="20">
        <v>1</v>
      </c>
      <c r="D316" s="18" t="s">
        <v>10</v>
      </c>
      <c r="E316" s="18" t="s">
        <v>28</v>
      </c>
      <c r="F316" s="18" t="s">
        <v>27</v>
      </c>
      <c r="G316" s="21">
        <v>573.25</v>
      </c>
    </row>
    <row r="317" spans="2:7" x14ac:dyDescent="0.25">
      <c r="B317" s="19">
        <v>41318</v>
      </c>
      <c r="C317" s="20">
        <v>1</v>
      </c>
      <c r="D317" s="18" t="s">
        <v>8</v>
      </c>
      <c r="E317" s="18" t="s">
        <v>23</v>
      </c>
      <c r="F317" s="18" t="s">
        <v>32</v>
      </c>
      <c r="G317" s="21">
        <v>423.24</v>
      </c>
    </row>
    <row r="318" spans="2:7" x14ac:dyDescent="0.25">
      <c r="B318" s="19">
        <v>41886</v>
      </c>
      <c r="C318" s="20">
        <v>3</v>
      </c>
      <c r="D318" s="18" t="s">
        <v>18</v>
      </c>
      <c r="E318" s="18" t="s">
        <v>19</v>
      </c>
      <c r="F318" s="18" t="s">
        <v>32</v>
      </c>
      <c r="G318" s="21">
        <v>897.61</v>
      </c>
    </row>
    <row r="319" spans="2:7" x14ac:dyDescent="0.25">
      <c r="B319" s="19">
        <v>41557</v>
      </c>
      <c r="C319" s="20">
        <v>4</v>
      </c>
      <c r="D319" s="18" t="s">
        <v>9</v>
      </c>
      <c r="E319" s="18" t="s">
        <v>26</v>
      </c>
      <c r="F319" s="18" t="s">
        <v>22</v>
      </c>
      <c r="G319" s="21">
        <v>1234.96</v>
      </c>
    </row>
    <row r="320" spans="2:7" x14ac:dyDescent="0.25">
      <c r="B320" s="19">
        <v>41670</v>
      </c>
      <c r="C320" s="20">
        <v>1</v>
      </c>
      <c r="D320" s="18" t="s">
        <v>8</v>
      </c>
      <c r="E320" s="18" t="s">
        <v>23</v>
      </c>
      <c r="F320" s="18" t="s">
        <v>24</v>
      </c>
      <c r="G320" s="21">
        <v>213.64</v>
      </c>
    </row>
    <row r="321" spans="2:7" x14ac:dyDescent="0.25">
      <c r="B321" s="19">
        <v>41329</v>
      </c>
      <c r="C321" s="20">
        <v>1</v>
      </c>
      <c r="D321" s="18" t="s">
        <v>11</v>
      </c>
      <c r="E321" s="18" t="s">
        <v>23</v>
      </c>
      <c r="F321" s="18" t="s">
        <v>30</v>
      </c>
      <c r="G321" s="21">
        <v>664.56</v>
      </c>
    </row>
    <row r="322" spans="2:7" x14ac:dyDescent="0.25">
      <c r="B322" s="19">
        <v>41921</v>
      </c>
      <c r="C322" s="20">
        <v>4</v>
      </c>
      <c r="D322" s="18" t="s">
        <v>8</v>
      </c>
      <c r="E322" s="18" t="s">
        <v>23</v>
      </c>
      <c r="F322" s="18" t="s">
        <v>22</v>
      </c>
      <c r="G322" s="21">
        <v>1682.92</v>
      </c>
    </row>
    <row r="323" spans="2:7" x14ac:dyDescent="0.25">
      <c r="B323" s="19">
        <v>41754</v>
      </c>
      <c r="C323" s="20">
        <v>2</v>
      </c>
      <c r="D323" s="18" t="s">
        <v>11</v>
      </c>
      <c r="E323" s="18" t="s">
        <v>23</v>
      </c>
      <c r="F323" s="18" t="s">
        <v>30</v>
      </c>
      <c r="G323" s="21">
        <v>535.4</v>
      </c>
    </row>
    <row r="324" spans="2:7" x14ac:dyDescent="0.25">
      <c r="B324" s="19">
        <v>41704</v>
      </c>
      <c r="C324" s="20">
        <v>1</v>
      </c>
      <c r="D324" s="18" t="s">
        <v>25</v>
      </c>
      <c r="E324" s="18" t="s">
        <v>26</v>
      </c>
      <c r="F324" s="18" t="s">
        <v>22</v>
      </c>
      <c r="G324" s="21">
        <v>318.37</v>
      </c>
    </row>
    <row r="325" spans="2:7" x14ac:dyDescent="0.25">
      <c r="B325" s="19">
        <v>41355</v>
      </c>
      <c r="C325" s="20">
        <v>1</v>
      </c>
      <c r="D325" s="18" t="s">
        <v>31</v>
      </c>
      <c r="E325" s="18" t="s">
        <v>28</v>
      </c>
      <c r="F325" s="18" t="s">
        <v>33</v>
      </c>
      <c r="G325" s="21">
        <v>1639.19</v>
      </c>
    </row>
    <row r="326" spans="2:7" x14ac:dyDescent="0.25">
      <c r="B326" s="19">
        <v>41857</v>
      </c>
      <c r="C326" s="20">
        <v>3</v>
      </c>
      <c r="D326" s="18" t="s">
        <v>10</v>
      </c>
      <c r="E326" s="18" t="s">
        <v>28</v>
      </c>
      <c r="F326" s="18" t="s">
        <v>30</v>
      </c>
      <c r="G326" s="21">
        <v>2911.58</v>
      </c>
    </row>
    <row r="327" spans="2:7" x14ac:dyDescent="0.25">
      <c r="B327" s="19">
        <v>41982</v>
      </c>
      <c r="C327" s="20">
        <v>4</v>
      </c>
      <c r="D327" s="18" t="s">
        <v>9</v>
      </c>
      <c r="E327" s="18" t="s">
        <v>26</v>
      </c>
      <c r="F327" s="18" t="s">
        <v>24</v>
      </c>
      <c r="G327" s="21">
        <v>1249.6600000000001</v>
      </c>
    </row>
    <row r="328" spans="2:7" x14ac:dyDescent="0.25">
      <c r="B328" s="19">
        <v>41633</v>
      </c>
      <c r="C328" s="20">
        <v>4</v>
      </c>
      <c r="D328" s="18" t="s">
        <v>31</v>
      </c>
      <c r="E328" s="18" t="s">
        <v>28</v>
      </c>
      <c r="F328" s="18" t="s">
        <v>29</v>
      </c>
      <c r="G328" s="21">
        <v>3277.14</v>
      </c>
    </row>
    <row r="329" spans="2:7" x14ac:dyDescent="0.25">
      <c r="B329" s="19">
        <v>41448</v>
      </c>
      <c r="C329" s="20">
        <v>2</v>
      </c>
      <c r="D329" s="18" t="s">
        <v>10</v>
      </c>
      <c r="E329" s="18" t="s">
        <v>28</v>
      </c>
      <c r="F329" s="18" t="s">
        <v>22</v>
      </c>
      <c r="G329" s="21">
        <v>1176.2</v>
      </c>
    </row>
    <row r="330" spans="2:7" x14ac:dyDescent="0.25">
      <c r="B330" s="19">
        <v>41360</v>
      </c>
      <c r="C330" s="20">
        <v>1</v>
      </c>
      <c r="D330" s="18" t="s">
        <v>9</v>
      </c>
      <c r="E330" s="18" t="s">
        <v>26</v>
      </c>
      <c r="F330" s="18" t="s">
        <v>27</v>
      </c>
      <c r="G330" s="21">
        <v>1839.51</v>
      </c>
    </row>
    <row r="331" spans="2:7" x14ac:dyDescent="0.25">
      <c r="B331" s="19">
        <v>41829</v>
      </c>
      <c r="C331" s="20">
        <v>3</v>
      </c>
      <c r="D331" s="18" t="s">
        <v>31</v>
      </c>
      <c r="E331" s="18" t="s">
        <v>28</v>
      </c>
      <c r="F331" s="18" t="s">
        <v>20</v>
      </c>
      <c r="G331" s="21">
        <v>557.04</v>
      </c>
    </row>
    <row r="332" spans="2:7" x14ac:dyDescent="0.25">
      <c r="B332" s="19">
        <v>41860</v>
      </c>
      <c r="C332" s="20">
        <v>3</v>
      </c>
      <c r="D332" s="18" t="s">
        <v>25</v>
      </c>
      <c r="E332" s="18" t="s">
        <v>26</v>
      </c>
      <c r="F332" s="18" t="s">
        <v>32</v>
      </c>
      <c r="G332" s="21">
        <v>1444.71</v>
      </c>
    </row>
    <row r="333" spans="2:7" x14ac:dyDescent="0.25">
      <c r="B333" s="19">
        <v>41660</v>
      </c>
      <c r="C333" s="20">
        <v>1</v>
      </c>
      <c r="D333" s="18" t="s">
        <v>31</v>
      </c>
      <c r="E333" s="18" t="s">
        <v>28</v>
      </c>
      <c r="F333" s="18" t="s">
        <v>20</v>
      </c>
      <c r="G333" s="21">
        <v>231.78</v>
      </c>
    </row>
    <row r="334" spans="2:7" x14ac:dyDescent="0.25">
      <c r="B334" s="19">
        <v>41734</v>
      </c>
      <c r="C334" s="20">
        <v>2</v>
      </c>
      <c r="D334" s="18" t="s">
        <v>31</v>
      </c>
      <c r="E334" s="18" t="s">
        <v>28</v>
      </c>
      <c r="F334" s="18" t="s">
        <v>33</v>
      </c>
      <c r="G334" s="21">
        <v>621.99</v>
      </c>
    </row>
    <row r="335" spans="2:7" x14ac:dyDescent="0.25">
      <c r="B335" s="19">
        <v>41903</v>
      </c>
      <c r="C335" s="20">
        <v>3</v>
      </c>
      <c r="D335" s="18" t="s">
        <v>10</v>
      </c>
      <c r="E335" s="18" t="s">
        <v>28</v>
      </c>
      <c r="F335" s="18" t="s">
        <v>33</v>
      </c>
      <c r="G335" s="21">
        <v>1618.37</v>
      </c>
    </row>
    <row r="336" spans="2:7" x14ac:dyDescent="0.25">
      <c r="B336" s="19">
        <v>41955</v>
      </c>
      <c r="C336" s="20">
        <v>4</v>
      </c>
      <c r="D336" s="18" t="s">
        <v>18</v>
      </c>
      <c r="E336" s="18" t="s">
        <v>19</v>
      </c>
      <c r="F336" s="18" t="s">
        <v>32</v>
      </c>
      <c r="G336" s="21">
        <v>1676.33</v>
      </c>
    </row>
    <row r="337" spans="2:7" x14ac:dyDescent="0.25">
      <c r="B337" s="19">
        <v>41295</v>
      </c>
      <c r="C337" s="20">
        <v>1</v>
      </c>
      <c r="D337" s="18" t="s">
        <v>18</v>
      </c>
      <c r="E337" s="18" t="s">
        <v>19</v>
      </c>
      <c r="F337" s="18" t="s">
        <v>27</v>
      </c>
      <c r="G337" s="21">
        <v>374.51</v>
      </c>
    </row>
    <row r="338" spans="2:7" x14ac:dyDescent="0.25">
      <c r="B338" s="19">
        <v>41431</v>
      </c>
      <c r="C338" s="20">
        <v>2</v>
      </c>
      <c r="D338" s="18" t="s">
        <v>21</v>
      </c>
      <c r="E338" s="18" t="s">
        <v>19</v>
      </c>
      <c r="F338" s="18" t="s">
        <v>33</v>
      </c>
      <c r="G338" s="21">
        <v>519.15</v>
      </c>
    </row>
    <row r="339" spans="2:7" x14ac:dyDescent="0.25">
      <c r="B339" s="19">
        <v>41513</v>
      </c>
      <c r="C339" s="20">
        <v>3</v>
      </c>
      <c r="D339" s="18" t="s">
        <v>18</v>
      </c>
      <c r="E339" s="18" t="s">
        <v>19</v>
      </c>
      <c r="F339" s="18" t="s">
        <v>29</v>
      </c>
      <c r="G339" s="21">
        <v>2909.54</v>
      </c>
    </row>
    <row r="340" spans="2:7" x14ac:dyDescent="0.25">
      <c r="B340" s="19">
        <v>41462</v>
      </c>
      <c r="C340" s="20">
        <v>3</v>
      </c>
      <c r="D340" s="18" t="s">
        <v>31</v>
      </c>
      <c r="E340" s="18" t="s">
        <v>28</v>
      </c>
      <c r="F340" s="18" t="s">
        <v>29</v>
      </c>
      <c r="G340" s="21">
        <v>2566.54</v>
      </c>
    </row>
    <row r="341" spans="2:7" x14ac:dyDescent="0.25">
      <c r="B341" s="19">
        <v>41581</v>
      </c>
      <c r="C341" s="20">
        <v>4</v>
      </c>
      <c r="D341" s="18" t="s">
        <v>11</v>
      </c>
      <c r="E341" s="18" t="s">
        <v>23</v>
      </c>
      <c r="F341" s="18" t="s">
        <v>29</v>
      </c>
      <c r="G341" s="21">
        <v>1595.28</v>
      </c>
    </row>
    <row r="342" spans="2:7" x14ac:dyDescent="0.25">
      <c r="B342" s="19">
        <v>41437</v>
      </c>
      <c r="C342" s="20">
        <v>2</v>
      </c>
      <c r="D342" s="18" t="s">
        <v>8</v>
      </c>
      <c r="E342" s="18" t="s">
        <v>23</v>
      </c>
      <c r="F342" s="18" t="s">
        <v>33</v>
      </c>
      <c r="G342" s="21">
        <v>349.26</v>
      </c>
    </row>
    <row r="343" spans="2:7" x14ac:dyDescent="0.25">
      <c r="B343" s="19">
        <v>41949</v>
      </c>
      <c r="C343" s="20">
        <v>4</v>
      </c>
      <c r="D343" s="18" t="s">
        <v>9</v>
      </c>
      <c r="E343" s="18" t="s">
        <v>26</v>
      </c>
      <c r="F343" s="18" t="s">
        <v>24</v>
      </c>
      <c r="G343" s="21">
        <v>247.06</v>
      </c>
    </row>
    <row r="344" spans="2:7" x14ac:dyDescent="0.25">
      <c r="B344" s="19">
        <v>41833</v>
      </c>
      <c r="C344" s="20">
        <v>3</v>
      </c>
      <c r="D344" s="18" t="s">
        <v>18</v>
      </c>
      <c r="E344" s="18" t="s">
        <v>19</v>
      </c>
      <c r="F344" s="18" t="s">
        <v>30</v>
      </c>
      <c r="G344" s="21">
        <v>1164.03</v>
      </c>
    </row>
    <row r="345" spans="2:7" x14ac:dyDescent="0.25">
      <c r="B345" s="19">
        <v>41391</v>
      </c>
      <c r="C345" s="20">
        <v>2</v>
      </c>
      <c r="D345" s="18" t="s">
        <v>8</v>
      </c>
      <c r="E345" s="18" t="s">
        <v>23</v>
      </c>
      <c r="F345" s="18" t="s">
        <v>27</v>
      </c>
      <c r="G345" s="21">
        <v>688.79</v>
      </c>
    </row>
    <row r="346" spans="2:7" x14ac:dyDescent="0.25">
      <c r="B346" s="19">
        <v>41490</v>
      </c>
      <c r="C346" s="20">
        <v>3</v>
      </c>
      <c r="D346" s="18" t="s">
        <v>31</v>
      </c>
      <c r="E346" s="18" t="s">
        <v>28</v>
      </c>
      <c r="F346" s="18" t="s">
        <v>24</v>
      </c>
      <c r="G346" s="21">
        <v>230.87</v>
      </c>
    </row>
    <row r="347" spans="2:7" x14ac:dyDescent="0.25">
      <c r="B347" s="19">
        <v>41286</v>
      </c>
      <c r="C347" s="20">
        <v>1</v>
      </c>
      <c r="D347" s="18" t="s">
        <v>9</v>
      </c>
      <c r="E347" s="18" t="s">
        <v>26</v>
      </c>
      <c r="F347" s="18" t="s">
        <v>33</v>
      </c>
      <c r="G347" s="21">
        <v>2895.36</v>
      </c>
    </row>
    <row r="348" spans="2:7" x14ac:dyDescent="0.25">
      <c r="B348" s="19">
        <v>41946</v>
      </c>
      <c r="C348" s="20">
        <v>4</v>
      </c>
      <c r="D348" s="18" t="s">
        <v>25</v>
      </c>
      <c r="E348" s="18" t="s">
        <v>26</v>
      </c>
      <c r="F348" s="18" t="s">
        <v>32</v>
      </c>
      <c r="G348" s="21">
        <v>298.02999999999997</v>
      </c>
    </row>
    <row r="349" spans="2:7" x14ac:dyDescent="0.25">
      <c r="B349" s="19">
        <v>41602</v>
      </c>
      <c r="C349" s="20">
        <v>4</v>
      </c>
      <c r="D349" s="18" t="s">
        <v>11</v>
      </c>
      <c r="E349" s="18" t="s">
        <v>23</v>
      </c>
      <c r="F349" s="18" t="s">
        <v>30</v>
      </c>
      <c r="G349" s="21">
        <v>1536.63</v>
      </c>
    </row>
    <row r="350" spans="2:7" x14ac:dyDescent="0.25">
      <c r="B350" s="19">
        <v>41648</v>
      </c>
      <c r="C350" s="20">
        <v>1</v>
      </c>
      <c r="D350" s="18" t="s">
        <v>10</v>
      </c>
      <c r="E350" s="18" t="s">
        <v>28</v>
      </c>
      <c r="F350" s="18" t="s">
        <v>27</v>
      </c>
      <c r="G350" s="21">
        <v>1353.92</v>
      </c>
    </row>
    <row r="351" spans="2:7" x14ac:dyDescent="0.25">
      <c r="B351" s="19">
        <v>41480</v>
      </c>
      <c r="C351" s="20">
        <v>3</v>
      </c>
      <c r="D351" s="18" t="s">
        <v>8</v>
      </c>
      <c r="E351" s="18" t="s">
        <v>23</v>
      </c>
      <c r="F351" s="18" t="s">
        <v>33</v>
      </c>
      <c r="G351" s="21">
        <v>1759.11</v>
      </c>
    </row>
    <row r="352" spans="2:7" x14ac:dyDescent="0.25">
      <c r="B352" s="19">
        <v>41337</v>
      </c>
      <c r="C352" s="20">
        <v>1</v>
      </c>
      <c r="D352" s="18" t="s">
        <v>18</v>
      </c>
      <c r="E352" s="18" t="s">
        <v>19</v>
      </c>
      <c r="F352" s="18" t="s">
        <v>22</v>
      </c>
      <c r="G352" s="21">
        <v>624.54999999999995</v>
      </c>
    </row>
    <row r="353" spans="2:7" x14ac:dyDescent="0.25">
      <c r="B353" s="19">
        <v>41427</v>
      </c>
      <c r="C353" s="20">
        <v>2</v>
      </c>
      <c r="D353" s="18" t="s">
        <v>11</v>
      </c>
      <c r="E353" s="18" t="s">
        <v>23</v>
      </c>
      <c r="F353" s="18" t="s">
        <v>30</v>
      </c>
      <c r="G353" s="21">
        <v>640.22</v>
      </c>
    </row>
    <row r="354" spans="2:7" x14ac:dyDescent="0.25">
      <c r="B354" s="19">
        <v>41911</v>
      </c>
      <c r="C354" s="20">
        <v>3</v>
      </c>
      <c r="D354" s="18" t="s">
        <v>10</v>
      </c>
      <c r="E354" s="18" t="s">
        <v>28</v>
      </c>
      <c r="F354" s="18" t="s">
        <v>27</v>
      </c>
      <c r="G354" s="21">
        <v>583.41</v>
      </c>
    </row>
    <row r="355" spans="2:7" x14ac:dyDescent="0.25">
      <c r="B355" s="19">
        <v>41760</v>
      </c>
      <c r="C355" s="20">
        <v>2</v>
      </c>
      <c r="D355" s="18" t="s">
        <v>25</v>
      </c>
      <c r="E355" s="18" t="s">
        <v>26</v>
      </c>
      <c r="F355" s="18" t="s">
        <v>20</v>
      </c>
      <c r="G355" s="21">
        <v>330.12</v>
      </c>
    </row>
    <row r="356" spans="2:7" x14ac:dyDescent="0.25">
      <c r="B356" s="19">
        <v>41407</v>
      </c>
      <c r="C356" s="20">
        <v>2</v>
      </c>
      <c r="D356" s="18" t="s">
        <v>11</v>
      </c>
      <c r="E356" s="18" t="s">
        <v>23</v>
      </c>
      <c r="F356" s="18" t="s">
        <v>32</v>
      </c>
      <c r="G356" s="21">
        <v>815.84</v>
      </c>
    </row>
    <row r="357" spans="2:7" x14ac:dyDescent="0.25">
      <c r="B357" s="19">
        <v>41339</v>
      </c>
      <c r="C357" s="20">
        <v>1</v>
      </c>
      <c r="D357" s="18" t="s">
        <v>11</v>
      </c>
      <c r="E357" s="18" t="s">
        <v>23</v>
      </c>
      <c r="F357" s="18" t="s">
        <v>20</v>
      </c>
      <c r="G357" s="21">
        <v>146.80000000000001</v>
      </c>
    </row>
    <row r="358" spans="2:7" x14ac:dyDescent="0.25">
      <c r="B358" s="19">
        <v>41360</v>
      </c>
      <c r="C358" s="20">
        <v>1</v>
      </c>
      <c r="D358" s="18" t="s">
        <v>18</v>
      </c>
      <c r="E358" s="18" t="s">
        <v>19</v>
      </c>
      <c r="F358" s="18" t="s">
        <v>30</v>
      </c>
      <c r="G358" s="21">
        <v>2348.2399999999998</v>
      </c>
    </row>
    <row r="359" spans="2:7" x14ac:dyDescent="0.25">
      <c r="B359" s="19">
        <v>41366</v>
      </c>
      <c r="C359" s="20">
        <v>2</v>
      </c>
      <c r="D359" s="18" t="s">
        <v>10</v>
      </c>
      <c r="E359" s="18" t="s">
        <v>28</v>
      </c>
      <c r="F359" s="18" t="s">
        <v>33</v>
      </c>
      <c r="G359" s="21">
        <v>677.93</v>
      </c>
    </row>
    <row r="360" spans="2:7" x14ac:dyDescent="0.25">
      <c r="B360" s="19">
        <v>41634</v>
      </c>
      <c r="C360" s="20">
        <v>4</v>
      </c>
      <c r="D360" s="18" t="s">
        <v>8</v>
      </c>
      <c r="E360" s="18" t="s">
        <v>23</v>
      </c>
      <c r="F360" s="18" t="s">
        <v>30</v>
      </c>
      <c r="G360" s="21">
        <v>453.03</v>
      </c>
    </row>
    <row r="361" spans="2:7" x14ac:dyDescent="0.25">
      <c r="B361" s="19">
        <v>41729</v>
      </c>
      <c r="C361" s="20">
        <v>1</v>
      </c>
      <c r="D361" s="18" t="s">
        <v>11</v>
      </c>
      <c r="E361" s="18" t="s">
        <v>23</v>
      </c>
      <c r="F361" s="18" t="s">
        <v>27</v>
      </c>
      <c r="G361" s="21">
        <v>430.53</v>
      </c>
    </row>
    <row r="362" spans="2:7" x14ac:dyDescent="0.25">
      <c r="B362" s="19">
        <v>41471</v>
      </c>
      <c r="C362" s="20">
        <v>3</v>
      </c>
      <c r="D362" s="18" t="s">
        <v>21</v>
      </c>
      <c r="E362" s="18" t="s">
        <v>19</v>
      </c>
      <c r="F362" s="18" t="s">
        <v>22</v>
      </c>
      <c r="G362" s="21">
        <v>858.44</v>
      </c>
    </row>
    <row r="363" spans="2:7" x14ac:dyDescent="0.25">
      <c r="B363" s="19">
        <v>41422</v>
      </c>
      <c r="C363" s="20">
        <v>2</v>
      </c>
      <c r="D363" s="18" t="s">
        <v>21</v>
      </c>
      <c r="E363" s="18" t="s">
        <v>19</v>
      </c>
      <c r="F363" s="18" t="s">
        <v>29</v>
      </c>
      <c r="G363" s="21">
        <v>3721.68</v>
      </c>
    </row>
    <row r="364" spans="2:7" x14ac:dyDescent="0.25">
      <c r="B364" s="19">
        <v>41680</v>
      </c>
      <c r="C364" s="20">
        <v>1</v>
      </c>
      <c r="D364" s="18" t="s">
        <v>18</v>
      </c>
      <c r="E364" s="18" t="s">
        <v>19</v>
      </c>
      <c r="F364" s="18" t="s">
        <v>33</v>
      </c>
      <c r="G364" s="21">
        <v>1272.26</v>
      </c>
    </row>
    <row r="365" spans="2:7" x14ac:dyDescent="0.25">
      <c r="B365" s="19">
        <v>41964</v>
      </c>
      <c r="C365" s="20">
        <v>4</v>
      </c>
      <c r="D365" s="18" t="s">
        <v>9</v>
      </c>
      <c r="E365" s="18" t="s">
        <v>26</v>
      </c>
      <c r="F365" s="18" t="s">
        <v>30</v>
      </c>
      <c r="G365" s="21">
        <v>1228.44</v>
      </c>
    </row>
    <row r="366" spans="2:7" x14ac:dyDescent="0.25">
      <c r="B366" s="19">
        <v>41918</v>
      </c>
      <c r="C366" s="20">
        <v>4</v>
      </c>
      <c r="D366" s="18" t="s">
        <v>21</v>
      </c>
      <c r="E366" s="18" t="s">
        <v>19</v>
      </c>
      <c r="F366" s="18" t="s">
        <v>29</v>
      </c>
      <c r="G366" s="21">
        <v>2190.2199999999998</v>
      </c>
    </row>
    <row r="367" spans="2:7" x14ac:dyDescent="0.25">
      <c r="B367" s="19">
        <v>41761</v>
      </c>
      <c r="C367" s="20">
        <v>2</v>
      </c>
      <c r="D367" s="18" t="s">
        <v>25</v>
      </c>
      <c r="E367" s="18" t="s">
        <v>26</v>
      </c>
      <c r="F367" s="18" t="s">
        <v>22</v>
      </c>
      <c r="G367" s="21">
        <v>118.63</v>
      </c>
    </row>
    <row r="368" spans="2:7" x14ac:dyDescent="0.25">
      <c r="B368" s="19">
        <v>41318</v>
      </c>
      <c r="C368" s="20">
        <v>1</v>
      </c>
      <c r="D368" s="18" t="s">
        <v>21</v>
      </c>
      <c r="E368" s="18" t="s">
        <v>19</v>
      </c>
      <c r="F368" s="18" t="s">
        <v>29</v>
      </c>
      <c r="G368" s="21">
        <v>3445.62</v>
      </c>
    </row>
    <row r="369" spans="2:7" x14ac:dyDescent="0.25">
      <c r="B369" s="19">
        <v>41391</v>
      </c>
      <c r="C369" s="20">
        <v>2</v>
      </c>
      <c r="D369" s="18" t="s">
        <v>21</v>
      </c>
      <c r="E369" s="18" t="s">
        <v>19</v>
      </c>
      <c r="F369" s="18" t="s">
        <v>32</v>
      </c>
      <c r="G369" s="21">
        <v>1714.73</v>
      </c>
    </row>
    <row r="370" spans="2:7" x14ac:dyDescent="0.25">
      <c r="B370" s="19">
        <v>41389</v>
      </c>
      <c r="C370" s="20">
        <v>2</v>
      </c>
      <c r="D370" s="18" t="s">
        <v>11</v>
      </c>
      <c r="E370" s="18" t="s">
        <v>23</v>
      </c>
      <c r="F370" s="18" t="s">
        <v>32</v>
      </c>
      <c r="G370" s="21">
        <v>1415.38</v>
      </c>
    </row>
    <row r="371" spans="2:7" x14ac:dyDescent="0.25">
      <c r="B371" s="19">
        <v>41422</v>
      </c>
      <c r="C371" s="20">
        <v>2</v>
      </c>
      <c r="D371" s="18" t="s">
        <v>11</v>
      </c>
      <c r="E371" s="18" t="s">
        <v>23</v>
      </c>
      <c r="F371" s="18" t="s">
        <v>33</v>
      </c>
      <c r="G371" s="21">
        <v>2608.5300000000002</v>
      </c>
    </row>
    <row r="372" spans="2:7" x14ac:dyDescent="0.25">
      <c r="B372" s="19">
        <v>41716</v>
      </c>
      <c r="C372" s="20">
        <v>1</v>
      </c>
      <c r="D372" s="18" t="s">
        <v>9</v>
      </c>
      <c r="E372" s="18" t="s">
        <v>26</v>
      </c>
      <c r="F372" s="18" t="s">
        <v>32</v>
      </c>
      <c r="G372" s="21">
        <v>1538.43</v>
      </c>
    </row>
    <row r="373" spans="2:7" x14ac:dyDescent="0.25">
      <c r="B373" s="19">
        <v>41463</v>
      </c>
      <c r="C373" s="20">
        <v>3</v>
      </c>
      <c r="D373" s="18" t="s">
        <v>21</v>
      </c>
      <c r="E373" s="18" t="s">
        <v>19</v>
      </c>
      <c r="F373" s="18" t="s">
        <v>24</v>
      </c>
      <c r="G373" s="21">
        <v>418.85</v>
      </c>
    </row>
    <row r="374" spans="2:7" x14ac:dyDescent="0.25">
      <c r="B374" s="19">
        <v>41673</v>
      </c>
      <c r="C374" s="20">
        <v>1</v>
      </c>
      <c r="D374" s="18" t="s">
        <v>18</v>
      </c>
      <c r="E374" s="18" t="s">
        <v>19</v>
      </c>
      <c r="F374" s="18" t="s">
        <v>32</v>
      </c>
      <c r="G374" s="21">
        <v>1953.66</v>
      </c>
    </row>
    <row r="375" spans="2:7" x14ac:dyDescent="0.25">
      <c r="B375" s="19">
        <v>41779</v>
      </c>
      <c r="C375" s="20">
        <v>2</v>
      </c>
      <c r="D375" s="18" t="s">
        <v>31</v>
      </c>
      <c r="E375" s="18" t="s">
        <v>28</v>
      </c>
      <c r="F375" s="18" t="s">
        <v>29</v>
      </c>
      <c r="G375" s="21">
        <v>2888.58</v>
      </c>
    </row>
    <row r="376" spans="2:7" x14ac:dyDescent="0.25">
      <c r="B376" s="19">
        <v>41554</v>
      </c>
      <c r="C376" s="20">
        <v>4</v>
      </c>
      <c r="D376" s="18" t="s">
        <v>25</v>
      </c>
      <c r="E376" s="18" t="s">
        <v>26</v>
      </c>
      <c r="F376" s="18" t="s">
        <v>29</v>
      </c>
      <c r="G376" s="21">
        <v>3794.16</v>
      </c>
    </row>
    <row r="377" spans="2:7" x14ac:dyDescent="0.25">
      <c r="B377" s="19">
        <v>41614</v>
      </c>
      <c r="C377" s="20">
        <v>4</v>
      </c>
      <c r="D377" s="18" t="s">
        <v>25</v>
      </c>
      <c r="E377" s="18" t="s">
        <v>26</v>
      </c>
      <c r="F377" s="18" t="s">
        <v>22</v>
      </c>
      <c r="G377" s="21">
        <v>321.5</v>
      </c>
    </row>
    <row r="378" spans="2:7" x14ac:dyDescent="0.25">
      <c r="B378" s="19">
        <v>41355</v>
      </c>
      <c r="C378" s="20">
        <v>1</v>
      </c>
      <c r="D378" s="18" t="s">
        <v>31</v>
      </c>
      <c r="E378" s="18" t="s">
        <v>28</v>
      </c>
      <c r="F378" s="18" t="s">
        <v>20</v>
      </c>
      <c r="G378" s="21">
        <v>797.57</v>
      </c>
    </row>
    <row r="379" spans="2:7" x14ac:dyDescent="0.25">
      <c r="B379" s="19">
        <v>41649</v>
      </c>
      <c r="C379" s="20">
        <v>1</v>
      </c>
      <c r="D379" s="18" t="s">
        <v>9</v>
      </c>
      <c r="E379" s="18" t="s">
        <v>26</v>
      </c>
      <c r="F379" s="18" t="s">
        <v>27</v>
      </c>
      <c r="G379" s="21">
        <v>451.83</v>
      </c>
    </row>
    <row r="380" spans="2:7" x14ac:dyDescent="0.25">
      <c r="B380" s="19">
        <v>41366</v>
      </c>
      <c r="C380" s="20">
        <v>2</v>
      </c>
      <c r="D380" s="18" t="s">
        <v>18</v>
      </c>
      <c r="E380" s="18" t="s">
        <v>19</v>
      </c>
      <c r="F380" s="18" t="s">
        <v>32</v>
      </c>
      <c r="G380" s="21">
        <v>1480.31</v>
      </c>
    </row>
    <row r="381" spans="2:7" x14ac:dyDescent="0.25">
      <c r="B381" s="19">
        <v>41513</v>
      </c>
      <c r="C381" s="20">
        <v>3</v>
      </c>
      <c r="D381" s="18" t="s">
        <v>9</v>
      </c>
      <c r="E381" s="18" t="s">
        <v>26</v>
      </c>
      <c r="F381" s="18" t="s">
        <v>20</v>
      </c>
      <c r="G381" s="21">
        <v>362.72</v>
      </c>
    </row>
    <row r="382" spans="2:7" x14ac:dyDescent="0.25">
      <c r="B382" s="19">
        <v>41894</v>
      </c>
      <c r="C382" s="20">
        <v>3</v>
      </c>
      <c r="D382" s="18" t="s">
        <v>21</v>
      </c>
      <c r="E382" s="18" t="s">
        <v>19</v>
      </c>
      <c r="F382" s="18" t="s">
        <v>27</v>
      </c>
      <c r="G382" s="21">
        <v>1943.54</v>
      </c>
    </row>
    <row r="383" spans="2:7" x14ac:dyDescent="0.25">
      <c r="B383" s="19">
        <v>41303</v>
      </c>
      <c r="C383" s="20">
        <v>1</v>
      </c>
      <c r="D383" s="18" t="s">
        <v>10</v>
      </c>
      <c r="E383" s="18" t="s">
        <v>28</v>
      </c>
      <c r="F383" s="18" t="s">
        <v>33</v>
      </c>
      <c r="G383" s="21">
        <v>741.95</v>
      </c>
    </row>
    <row r="384" spans="2:7" x14ac:dyDescent="0.25">
      <c r="B384" s="19">
        <v>41330</v>
      </c>
      <c r="C384" s="20">
        <v>1</v>
      </c>
      <c r="D384" s="18" t="s">
        <v>11</v>
      </c>
      <c r="E384" s="18" t="s">
        <v>23</v>
      </c>
      <c r="F384" s="18" t="s">
        <v>27</v>
      </c>
      <c r="G384" s="21">
        <v>1049.24</v>
      </c>
    </row>
    <row r="385" spans="2:7" x14ac:dyDescent="0.25">
      <c r="B385" s="19">
        <v>41834</v>
      </c>
      <c r="C385" s="20">
        <v>3</v>
      </c>
      <c r="D385" s="18" t="s">
        <v>18</v>
      </c>
      <c r="E385" s="18" t="s">
        <v>19</v>
      </c>
      <c r="F385" s="18" t="s">
        <v>20</v>
      </c>
      <c r="G385" s="21">
        <v>302.27999999999997</v>
      </c>
    </row>
    <row r="386" spans="2:7" x14ac:dyDescent="0.25">
      <c r="B386" s="19">
        <v>41579</v>
      </c>
      <c r="C386" s="20">
        <v>4</v>
      </c>
      <c r="D386" s="18" t="s">
        <v>31</v>
      </c>
      <c r="E386" s="18" t="s">
        <v>28</v>
      </c>
      <c r="F386" s="18" t="s">
        <v>29</v>
      </c>
      <c r="G386" s="21">
        <v>2867.7</v>
      </c>
    </row>
    <row r="387" spans="2:7" x14ac:dyDescent="0.25">
      <c r="B387" s="19">
        <v>41990</v>
      </c>
      <c r="C387" s="20">
        <v>4</v>
      </c>
      <c r="D387" s="18" t="s">
        <v>21</v>
      </c>
      <c r="E387" s="18" t="s">
        <v>19</v>
      </c>
      <c r="F387" s="18" t="s">
        <v>30</v>
      </c>
      <c r="G387" s="21">
        <v>2294.71</v>
      </c>
    </row>
    <row r="388" spans="2:7" x14ac:dyDescent="0.25">
      <c r="B388" s="19">
        <v>41734</v>
      </c>
      <c r="C388" s="20">
        <v>2</v>
      </c>
      <c r="D388" s="18" t="s">
        <v>18</v>
      </c>
      <c r="E388" s="18" t="s">
        <v>19</v>
      </c>
      <c r="F388" s="18" t="s">
        <v>22</v>
      </c>
      <c r="G388" s="21">
        <v>1060.6500000000001</v>
      </c>
    </row>
    <row r="389" spans="2:7" x14ac:dyDescent="0.25">
      <c r="B389" s="19">
        <v>41970</v>
      </c>
      <c r="C389" s="20">
        <v>4</v>
      </c>
      <c r="D389" s="18" t="s">
        <v>8</v>
      </c>
      <c r="E389" s="18" t="s">
        <v>23</v>
      </c>
      <c r="F389" s="18" t="s">
        <v>20</v>
      </c>
      <c r="G389" s="21">
        <v>334.68</v>
      </c>
    </row>
    <row r="390" spans="2:7" x14ac:dyDescent="0.25">
      <c r="B390" s="19">
        <v>41303</v>
      </c>
      <c r="C390" s="20">
        <v>1</v>
      </c>
      <c r="D390" s="18" t="s">
        <v>11</v>
      </c>
      <c r="E390" s="18" t="s">
        <v>23</v>
      </c>
      <c r="F390" s="18" t="s">
        <v>29</v>
      </c>
      <c r="G390" s="21">
        <v>3838.4</v>
      </c>
    </row>
    <row r="391" spans="2:7" x14ac:dyDescent="0.25">
      <c r="B391" s="19">
        <v>41602</v>
      </c>
      <c r="C391" s="20">
        <v>4</v>
      </c>
      <c r="D391" s="18" t="s">
        <v>21</v>
      </c>
      <c r="E391" s="18" t="s">
        <v>19</v>
      </c>
      <c r="F391" s="18" t="s">
        <v>33</v>
      </c>
      <c r="G391" s="21">
        <v>2230.3200000000002</v>
      </c>
    </row>
    <row r="392" spans="2:7" x14ac:dyDescent="0.25">
      <c r="B392" s="19">
        <v>41608</v>
      </c>
      <c r="C392" s="20">
        <v>4</v>
      </c>
      <c r="D392" s="18" t="s">
        <v>18</v>
      </c>
      <c r="E392" s="18" t="s">
        <v>19</v>
      </c>
      <c r="F392" s="18" t="s">
        <v>20</v>
      </c>
      <c r="G392" s="21">
        <v>364.24</v>
      </c>
    </row>
    <row r="393" spans="2:7" x14ac:dyDescent="0.25">
      <c r="B393" s="19">
        <v>41445</v>
      </c>
      <c r="C393" s="20">
        <v>2</v>
      </c>
      <c r="D393" s="18" t="s">
        <v>10</v>
      </c>
      <c r="E393" s="18" t="s">
        <v>28</v>
      </c>
      <c r="F393" s="18" t="s">
        <v>32</v>
      </c>
      <c r="G393" s="21">
        <v>1077.5899999999999</v>
      </c>
    </row>
    <row r="394" spans="2:7" x14ac:dyDescent="0.25">
      <c r="B394" s="19">
        <v>41322</v>
      </c>
      <c r="C394" s="20">
        <v>1</v>
      </c>
      <c r="D394" s="18" t="s">
        <v>21</v>
      </c>
      <c r="E394" s="18" t="s">
        <v>19</v>
      </c>
      <c r="F394" s="18" t="s">
        <v>32</v>
      </c>
      <c r="G394" s="21">
        <v>1685.5</v>
      </c>
    </row>
    <row r="395" spans="2:7" x14ac:dyDescent="0.25">
      <c r="B395" s="19">
        <v>41836</v>
      </c>
      <c r="C395" s="20">
        <v>3</v>
      </c>
      <c r="D395" s="18" t="s">
        <v>8</v>
      </c>
      <c r="E395" s="18" t="s">
        <v>23</v>
      </c>
      <c r="F395" s="18" t="s">
        <v>30</v>
      </c>
      <c r="G395" s="21">
        <v>2344.42</v>
      </c>
    </row>
    <row r="396" spans="2:7" x14ac:dyDescent="0.25">
      <c r="B396" s="19">
        <v>41731</v>
      </c>
      <c r="C396" s="20">
        <v>2</v>
      </c>
      <c r="D396" s="18" t="s">
        <v>21</v>
      </c>
      <c r="E396" s="18" t="s">
        <v>19</v>
      </c>
      <c r="F396" s="18" t="s">
        <v>20</v>
      </c>
      <c r="G396" s="21">
        <v>426.75</v>
      </c>
    </row>
    <row r="397" spans="2:7" x14ac:dyDescent="0.25">
      <c r="B397" s="19">
        <v>41614</v>
      </c>
      <c r="C397" s="20">
        <v>4</v>
      </c>
      <c r="D397" s="18" t="s">
        <v>25</v>
      </c>
      <c r="E397" s="18" t="s">
        <v>26</v>
      </c>
      <c r="F397" s="18" t="s">
        <v>20</v>
      </c>
      <c r="G397" s="21">
        <v>795.06</v>
      </c>
    </row>
    <row r="398" spans="2:7" x14ac:dyDescent="0.25">
      <c r="B398" s="19">
        <v>41459</v>
      </c>
      <c r="C398" s="20">
        <v>3</v>
      </c>
      <c r="D398" s="18" t="s">
        <v>31</v>
      </c>
      <c r="E398" s="18" t="s">
        <v>28</v>
      </c>
      <c r="F398" s="18" t="s">
        <v>22</v>
      </c>
      <c r="G398" s="21">
        <v>1868</v>
      </c>
    </row>
    <row r="399" spans="2:7" x14ac:dyDescent="0.25">
      <c r="B399" s="19">
        <v>41962</v>
      </c>
      <c r="C399" s="20">
        <v>4</v>
      </c>
      <c r="D399" s="18" t="s">
        <v>8</v>
      </c>
      <c r="E399" s="18" t="s">
        <v>23</v>
      </c>
      <c r="F399" s="18" t="s">
        <v>20</v>
      </c>
      <c r="G399" s="21">
        <v>714.59</v>
      </c>
    </row>
    <row r="400" spans="2:7" x14ac:dyDescent="0.25">
      <c r="B400" s="19">
        <v>41295</v>
      </c>
      <c r="C400" s="20">
        <v>1</v>
      </c>
      <c r="D400" s="18" t="s">
        <v>10</v>
      </c>
      <c r="E400" s="18" t="s">
        <v>28</v>
      </c>
      <c r="F400" s="18" t="s">
        <v>27</v>
      </c>
      <c r="G400" s="21">
        <v>489</v>
      </c>
    </row>
    <row r="401" spans="2:7" x14ac:dyDescent="0.25">
      <c r="B401" s="19">
        <v>41702</v>
      </c>
      <c r="C401" s="20">
        <v>1</v>
      </c>
      <c r="D401" s="18" t="s">
        <v>31</v>
      </c>
      <c r="E401" s="18" t="s">
        <v>28</v>
      </c>
      <c r="F401" s="18" t="s">
        <v>24</v>
      </c>
      <c r="G401" s="21">
        <v>324.25</v>
      </c>
    </row>
    <row r="402" spans="2:7" x14ac:dyDescent="0.25">
      <c r="B402" s="19">
        <v>41866</v>
      </c>
      <c r="C402" s="20">
        <v>3</v>
      </c>
      <c r="D402" s="18" t="s">
        <v>11</v>
      </c>
      <c r="E402" s="18" t="s">
        <v>23</v>
      </c>
      <c r="F402" s="18" t="s">
        <v>22</v>
      </c>
      <c r="G402" s="21">
        <v>1812.63</v>
      </c>
    </row>
    <row r="403" spans="2:7" x14ac:dyDescent="0.25">
      <c r="B403" s="19">
        <v>41923</v>
      </c>
      <c r="C403" s="20">
        <v>4</v>
      </c>
      <c r="D403" s="18" t="s">
        <v>25</v>
      </c>
      <c r="E403" s="18" t="s">
        <v>26</v>
      </c>
      <c r="F403" s="18" t="s">
        <v>22</v>
      </c>
      <c r="G403" s="21">
        <v>1969.21</v>
      </c>
    </row>
    <row r="404" spans="2:7" x14ac:dyDescent="0.25">
      <c r="B404" s="19">
        <v>41513</v>
      </c>
      <c r="C404" s="20">
        <v>3</v>
      </c>
      <c r="D404" s="18" t="s">
        <v>8</v>
      </c>
      <c r="E404" s="18" t="s">
        <v>23</v>
      </c>
      <c r="F404" s="18" t="s">
        <v>32</v>
      </c>
      <c r="G404" s="21">
        <v>1695.95</v>
      </c>
    </row>
    <row r="405" spans="2:7" x14ac:dyDescent="0.25">
      <c r="B405" s="19">
        <v>41970</v>
      </c>
      <c r="C405" s="20">
        <v>4</v>
      </c>
      <c r="D405" s="18" t="s">
        <v>18</v>
      </c>
      <c r="E405" s="18" t="s">
        <v>19</v>
      </c>
      <c r="F405" s="18" t="s">
        <v>24</v>
      </c>
      <c r="G405" s="21">
        <v>601.13</v>
      </c>
    </row>
    <row r="406" spans="2:7" x14ac:dyDescent="0.25">
      <c r="B406" s="19">
        <v>41787</v>
      </c>
      <c r="C406" s="20">
        <v>2</v>
      </c>
      <c r="D406" s="18" t="s">
        <v>31</v>
      </c>
      <c r="E406" s="18" t="s">
        <v>28</v>
      </c>
      <c r="F406" s="18" t="s">
        <v>20</v>
      </c>
      <c r="G406" s="21">
        <v>171.26</v>
      </c>
    </row>
    <row r="407" spans="2:7" x14ac:dyDescent="0.25">
      <c r="B407" s="19">
        <v>41815</v>
      </c>
      <c r="C407" s="20">
        <v>2</v>
      </c>
      <c r="D407" s="18" t="s">
        <v>9</v>
      </c>
      <c r="E407" s="18" t="s">
        <v>26</v>
      </c>
      <c r="F407" s="18" t="s">
        <v>22</v>
      </c>
      <c r="G407" s="21">
        <v>368.54</v>
      </c>
    </row>
    <row r="408" spans="2:7" x14ac:dyDescent="0.25">
      <c r="B408" s="19">
        <v>41506</v>
      </c>
      <c r="C408" s="20">
        <v>3</v>
      </c>
      <c r="D408" s="18" t="s">
        <v>8</v>
      </c>
      <c r="E408" s="18" t="s">
        <v>23</v>
      </c>
      <c r="F408" s="18" t="s">
        <v>30</v>
      </c>
      <c r="G408" s="21">
        <v>2861.97</v>
      </c>
    </row>
    <row r="409" spans="2:7" x14ac:dyDescent="0.25">
      <c r="B409" s="19">
        <v>41712</v>
      </c>
      <c r="C409" s="20">
        <v>1</v>
      </c>
      <c r="D409" s="18" t="s">
        <v>25</v>
      </c>
      <c r="E409" s="18" t="s">
        <v>26</v>
      </c>
      <c r="F409" s="18" t="s">
        <v>20</v>
      </c>
      <c r="G409" s="21">
        <v>254</v>
      </c>
    </row>
    <row r="410" spans="2:7" x14ac:dyDescent="0.25">
      <c r="B410" s="19">
        <v>41373</v>
      </c>
      <c r="C410" s="20">
        <v>2</v>
      </c>
      <c r="D410" s="18" t="s">
        <v>9</v>
      </c>
      <c r="E410" s="18" t="s">
        <v>26</v>
      </c>
      <c r="F410" s="18" t="s">
        <v>29</v>
      </c>
      <c r="G410" s="21">
        <v>3445.24</v>
      </c>
    </row>
    <row r="411" spans="2:7" x14ac:dyDescent="0.25">
      <c r="B411" s="19">
        <v>41463</v>
      </c>
      <c r="C411" s="20">
        <v>3</v>
      </c>
      <c r="D411" s="18" t="s">
        <v>31</v>
      </c>
      <c r="E411" s="18" t="s">
        <v>28</v>
      </c>
      <c r="F411" s="18" t="s">
        <v>27</v>
      </c>
      <c r="G411" s="21">
        <v>179.38</v>
      </c>
    </row>
    <row r="412" spans="2:7" x14ac:dyDescent="0.25">
      <c r="B412" s="19">
        <v>41761</v>
      </c>
      <c r="C412" s="20">
        <v>2</v>
      </c>
      <c r="D412" s="18" t="s">
        <v>31</v>
      </c>
      <c r="E412" s="18" t="s">
        <v>28</v>
      </c>
      <c r="F412" s="18" t="s">
        <v>33</v>
      </c>
      <c r="G412" s="21">
        <v>982.38</v>
      </c>
    </row>
    <row r="413" spans="2:7" x14ac:dyDescent="0.25">
      <c r="B413" s="19">
        <v>41581</v>
      </c>
      <c r="C413" s="20">
        <v>4</v>
      </c>
      <c r="D413" s="18" t="s">
        <v>10</v>
      </c>
      <c r="E413" s="18" t="s">
        <v>28</v>
      </c>
      <c r="F413" s="18" t="s">
        <v>33</v>
      </c>
      <c r="G413" s="21">
        <v>764.43</v>
      </c>
    </row>
    <row r="414" spans="2:7" x14ac:dyDescent="0.25">
      <c r="B414" s="19">
        <v>41396</v>
      </c>
      <c r="C414" s="20">
        <v>2</v>
      </c>
      <c r="D414" s="18" t="s">
        <v>25</v>
      </c>
      <c r="E414" s="18" t="s">
        <v>26</v>
      </c>
      <c r="F414" s="18" t="s">
        <v>24</v>
      </c>
      <c r="G414" s="21">
        <v>317.95</v>
      </c>
    </row>
    <row r="415" spans="2:7" x14ac:dyDescent="0.25">
      <c r="B415" s="19">
        <v>41692</v>
      </c>
      <c r="C415" s="20">
        <v>1</v>
      </c>
      <c r="D415" s="18" t="s">
        <v>8</v>
      </c>
      <c r="E415" s="18" t="s">
        <v>23</v>
      </c>
      <c r="F415" s="18" t="s">
        <v>32</v>
      </c>
      <c r="G415" s="21">
        <v>1650.81</v>
      </c>
    </row>
    <row r="416" spans="2:7" x14ac:dyDescent="0.25">
      <c r="B416" s="19">
        <v>41792</v>
      </c>
      <c r="C416" s="20">
        <v>2</v>
      </c>
      <c r="D416" s="18" t="s">
        <v>21</v>
      </c>
      <c r="E416" s="18" t="s">
        <v>19</v>
      </c>
      <c r="F416" s="18" t="s">
        <v>29</v>
      </c>
      <c r="G416" s="21">
        <v>2141.8200000000002</v>
      </c>
    </row>
    <row r="417" spans="2:7" x14ac:dyDescent="0.25">
      <c r="B417" s="19">
        <v>41402</v>
      </c>
      <c r="C417" s="20">
        <v>2</v>
      </c>
      <c r="D417" s="18" t="s">
        <v>8</v>
      </c>
      <c r="E417" s="18" t="s">
        <v>23</v>
      </c>
      <c r="F417" s="18" t="s">
        <v>33</v>
      </c>
      <c r="G417" s="21">
        <v>1501.34</v>
      </c>
    </row>
    <row r="418" spans="2:7" x14ac:dyDescent="0.25">
      <c r="B418" s="19">
        <v>41307</v>
      </c>
      <c r="C418" s="20">
        <v>1</v>
      </c>
      <c r="D418" s="18" t="s">
        <v>21</v>
      </c>
      <c r="E418" s="18" t="s">
        <v>19</v>
      </c>
      <c r="F418" s="18" t="s">
        <v>22</v>
      </c>
      <c r="G418" s="21">
        <v>627.72</v>
      </c>
    </row>
    <row r="419" spans="2:7" x14ac:dyDescent="0.25">
      <c r="B419" s="19">
        <v>41993</v>
      </c>
      <c r="C419" s="20">
        <v>4</v>
      </c>
      <c r="D419" s="18" t="s">
        <v>10</v>
      </c>
      <c r="E419" s="18" t="s">
        <v>28</v>
      </c>
      <c r="F419" s="18" t="s">
        <v>29</v>
      </c>
      <c r="G419" s="21">
        <v>3159.24</v>
      </c>
    </row>
    <row r="420" spans="2:7" x14ac:dyDescent="0.25">
      <c r="B420" s="19">
        <v>41367</v>
      </c>
      <c r="C420" s="20">
        <v>2</v>
      </c>
      <c r="D420" s="18" t="s">
        <v>8</v>
      </c>
      <c r="E420" s="18" t="s">
        <v>23</v>
      </c>
      <c r="F420" s="18" t="s">
        <v>30</v>
      </c>
      <c r="G420" s="21">
        <v>1261.55</v>
      </c>
    </row>
    <row r="421" spans="2:7" x14ac:dyDescent="0.25">
      <c r="B421" s="19">
        <v>41823</v>
      </c>
      <c r="C421" s="20">
        <v>3</v>
      </c>
      <c r="D421" s="18" t="s">
        <v>18</v>
      </c>
      <c r="E421" s="18" t="s">
        <v>19</v>
      </c>
      <c r="F421" s="18" t="s">
        <v>30</v>
      </c>
      <c r="G421" s="21">
        <v>581.63</v>
      </c>
    </row>
    <row r="422" spans="2:7" x14ac:dyDescent="0.25">
      <c r="B422" s="19">
        <v>41967</v>
      </c>
      <c r="C422" s="20">
        <v>4</v>
      </c>
      <c r="D422" s="18" t="s">
        <v>8</v>
      </c>
      <c r="E422" s="18" t="s">
        <v>23</v>
      </c>
      <c r="F422" s="18" t="s">
        <v>32</v>
      </c>
      <c r="G422" s="21">
        <v>1888.58</v>
      </c>
    </row>
    <row r="423" spans="2:7" x14ac:dyDescent="0.25">
      <c r="B423" s="19">
        <v>41447</v>
      </c>
      <c r="C423" s="20">
        <v>2</v>
      </c>
      <c r="D423" s="18" t="s">
        <v>31</v>
      </c>
      <c r="E423" s="18" t="s">
        <v>28</v>
      </c>
      <c r="F423" s="18" t="s">
        <v>24</v>
      </c>
      <c r="G423" s="21">
        <v>1429</v>
      </c>
    </row>
    <row r="424" spans="2:7" x14ac:dyDescent="0.25">
      <c r="B424" s="19">
        <v>41310</v>
      </c>
      <c r="C424" s="20">
        <v>1</v>
      </c>
      <c r="D424" s="18" t="s">
        <v>31</v>
      </c>
      <c r="E424" s="18" t="s">
        <v>28</v>
      </c>
      <c r="F424" s="18" t="s">
        <v>27</v>
      </c>
      <c r="G424" s="21">
        <v>1649.68</v>
      </c>
    </row>
    <row r="425" spans="2:7" x14ac:dyDescent="0.25">
      <c r="B425" s="19">
        <v>41545</v>
      </c>
      <c r="C425" s="20">
        <v>3</v>
      </c>
      <c r="D425" s="18" t="s">
        <v>25</v>
      </c>
      <c r="E425" s="18" t="s">
        <v>26</v>
      </c>
      <c r="F425" s="18" t="s">
        <v>20</v>
      </c>
      <c r="G425" s="21">
        <v>676.16</v>
      </c>
    </row>
    <row r="426" spans="2:7" x14ac:dyDescent="0.25">
      <c r="B426" s="19">
        <v>41545</v>
      </c>
      <c r="C426" s="20">
        <v>3</v>
      </c>
      <c r="D426" s="18" t="s">
        <v>21</v>
      </c>
      <c r="E426" s="18" t="s">
        <v>19</v>
      </c>
      <c r="F426" s="18" t="s">
        <v>33</v>
      </c>
      <c r="G426" s="21">
        <v>1956</v>
      </c>
    </row>
    <row r="427" spans="2:7" x14ac:dyDescent="0.25">
      <c r="B427" s="19">
        <v>41935</v>
      </c>
      <c r="C427" s="20">
        <v>4</v>
      </c>
      <c r="D427" s="18" t="s">
        <v>8</v>
      </c>
      <c r="E427" s="18" t="s">
        <v>23</v>
      </c>
      <c r="F427" s="18" t="s">
        <v>22</v>
      </c>
      <c r="G427" s="21">
        <v>1735.35</v>
      </c>
    </row>
    <row r="428" spans="2:7" x14ac:dyDescent="0.25">
      <c r="B428" s="19">
        <v>41519</v>
      </c>
      <c r="C428" s="20">
        <v>3</v>
      </c>
      <c r="D428" s="18" t="s">
        <v>31</v>
      </c>
      <c r="E428" s="18" t="s">
        <v>28</v>
      </c>
      <c r="F428" s="18" t="s">
        <v>32</v>
      </c>
      <c r="G428" s="21">
        <v>1576.26</v>
      </c>
    </row>
    <row r="429" spans="2:7" x14ac:dyDescent="0.25">
      <c r="B429" s="19">
        <v>41637</v>
      </c>
      <c r="C429" s="20">
        <v>4</v>
      </c>
      <c r="D429" s="18" t="s">
        <v>8</v>
      </c>
      <c r="E429" s="18" t="s">
        <v>23</v>
      </c>
      <c r="F429" s="18" t="s">
        <v>30</v>
      </c>
      <c r="G429" s="21">
        <v>483.36</v>
      </c>
    </row>
    <row r="430" spans="2:7" x14ac:dyDescent="0.25">
      <c r="B430" s="19">
        <v>41869</v>
      </c>
      <c r="C430" s="20">
        <v>3</v>
      </c>
      <c r="D430" s="18" t="s">
        <v>10</v>
      </c>
      <c r="E430" s="18" t="s">
        <v>28</v>
      </c>
      <c r="F430" s="18" t="s">
        <v>27</v>
      </c>
      <c r="G430" s="21">
        <v>1480.36</v>
      </c>
    </row>
    <row r="431" spans="2:7" x14ac:dyDescent="0.25">
      <c r="B431" s="19">
        <v>41338</v>
      </c>
      <c r="C431" s="20">
        <v>1</v>
      </c>
      <c r="D431" s="18" t="s">
        <v>18</v>
      </c>
      <c r="E431" s="18" t="s">
        <v>19</v>
      </c>
      <c r="F431" s="18" t="s">
        <v>29</v>
      </c>
      <c r="G431" s="21">
        <v>1248.0999999999999</v>
      </c>
    </row>
    <row r="432" spans="2:7" x14ac:dyDescent="0.25">
      <c r="B432" s="19">
        <v>41433</v>
      </c>
      <c r="C432" s="20">
        <v>2</v>
      </c>
      <c r="D432" s="18" t="s">
        <v>18</v>
      </c>
      <c r="E432" s="18" t="s">
        <v>19</v>
      </c>
      <c r="F432" s="18" t="s">
        <v>20</v>
      </c>
      <c r="G432" s="21">
        <v>560.54999999999995</v>
      </c>
    </row>
    <row r="433" spans="2:7" x14ac:dyDescent="0.25">
      <c r="B433" s="19">
        <v>41816</v>
      </c>
      <c r="C433" s="20">
        <v>2</v>
      </c>
      <c r="D433" s="18" t="s">
        <v>31</v>
      </c>
      <c r="E433" s="18" t="s">
        <v>28</v>
      </c>
      <c r="F433" s="18" t="s">
        <v>32</v>
      </c>
      <c r="G433" s="21">
        <v>327.04000000000002</v>
      </c>
    </row>
    <row r="434" spans="2:7" x14ac:dyDescent="0.25">
      <c r="B434" s="19">
        <v>41702</v>
      </c>
      <c r="C434" s="20">
        <v>1</v>
      </c>
      <c r="D434" s="18" t="s">
        <v>8</v>
      </c>
      <c r="E434" s="18" t="s">
        <v>23</v>
      </c>
      <c r="F434" s="18" t="s">
        <v>27</v>
      </c>
      <c r="G434" s="21">
        <v>935.28</v>
      </c>
    </row>
    <row r="435" spans="2:7" x14ac:dyDescent="0.25">
      <c r="B435" s="19">
        <v>41472</v>
      </c>
      <c r="C435" s="20">
        <v>3</v>
      </c>
      <c r="D435" s="18" t="s">
        <v>9</v>
      </c>
      <c r="E435" s="18" t="s">
        <v>26</v>
      </c>
      <c r="F435" s="18" t="s">
        <v>30</v>
      </c>
      <c r="G435" s="21">
        <v>2125.16</v>
      </c>
    </row>
    <row r="436" spans="2:7" x14ac:dyDescent="0.25">
      <c r="B436" s="19">
        <v>41846</v>
      </c>
      <c r="C436" s="20">
        <v>3</v>
      </c>
      <c r="D436" s="18" t="s">
        <v>31</v>
      </c>
      <c r="E436" s="18" t="s">
        <v>28</v>
      </c>
      <c r="F436" s="18" t="s">
        <v>24</v>
      </c>
      <c r="G436" s="21">
        <v>612.45000000000005</v>
      </c>
    </row>
    <row r="437" spans="2:7" x14ac:dyDescent="0.25">
      <c r="B437" s="19">
        <v>41722</v>
      </c>
      <c r="C437" s="20">
        <v>1</v>
      </c>
      <c r="D437" s="18" t="s">
        <v>10</v>
      </c>
      <c r="E437" s="18" t="s">
        <v>28</v>
      </c>
      <c r="F437" s="18" t="s">
        <v>30</v>
      </c>
      <c r="G437" s="21">
        <v>2867.1</v>
      </c>
    </row>
    <row r="438" spans="2:7" x14ac:dyDescent="0.25">
      <c r="B438" s="19">
        <v>41465</v>
      </c>
      <c r="C438" s="20">
        <v>3</v>
      </c>
      <c r="D438" s="18" t="s">
        <v>8</v>
      </c>
      <c r="E438" s="18" t="s">
        <v>23</v>
      </c>
      <c r="F438" s="18" t="s">
        <v>27</v>
      </c>
      <c r="G438" s="21">
        <v>525.73</v>
      </c>
    </row>
    <row r="439" spans="2:7" x14ac:dyDescent="0.25">
      <c r="B439" s="19">
        <v>41304</v>
      </c>
      <c r="C439" s="20">
        <v>1</v>
      </c>
      <c r="D439" s="18" t="s">
        <v>8</v>
      </c>
      <c r="E439" s="18" t="s">
        <v>23</v>
      </c>
      <c r="F439" s="18" t="s">
        <v>24</v>
      </c>
      <c r="G439" s="21">
        <v>443.65</v>
      </c>
    </row>
    <row r="440" spans="2:7" x14ac:dyDescent="0.25">
      <c r="B440" s="19">
        <v>41982</v>
      </c>
      <c r="C440" s="20">
        <v>4</v>
      </c>
      <c r="D440" s="18" t="s">
        <v>31</v>
      </c>
      <c r="E440" s="18" t="s">
        <v>28</v>
      </c>
      <c r="F440" s="18" t="s">
        <v>22</v>
      </c>
      <c r="G440" s="21">
        <v>278.68</v>
      </c>
    </row>
    <row r="441" spans="2:7" x14ac:dyDescent="0.25">
      <c r="B441" s="19">
        <v>41740</v>
      </c>
      <c r="C441" s="20">
        <v>2</v>
      </c>
      <c r="D441" s="18" t="s">
        <v>31</v>
      </c>
      <c r="E441" s="18" t="s">
        <v>28</v>
      </c>
      <c r="F441" s="18" t="s">
        <v>32</v>
      </c>
      <c r="G441" s="21">
        <v>840.25</v>
      </c>
    </row>
    <row r="442" spans="2:7" x14ac:dyDescent="0.25">
      <c r="B442" s="19">
        <v>41373</v>
      </c>
      <c r="C442" s="20">
        <v>2</v>
      </c>
      <c r="D442" s="18" t="s">
        <v>11</v>
      </c>
      <c r="E442" s="18" t="s">
        <v>23</v>
      </c>
      <c r="F442" s="18" t="s">
        <v>29</v>
      </c>
      <c r="G442" s="21">
        <v>2093.46</v>
      </c>
    </row>
    <row r="443" spans="2:7" x14ac:dyDescent="0.25">
      <c r="B443" s="19">
        <v>41614</v>
      </c>
      <c r="C443" s="20">
        <v>4</v>
      </c>
      <c r="D443" s="18" t="s">
        <v>31</v>
      </c>
      <c r="E443" s="18" t="s">
        <v>28</v>
      </c>
      <c r="F443" s="18" t="s">
        <v>32</v>
      </c>
      <c r="G443" s="21">
        <v>1700.78</v>
      </c>
    </row>
    <row r="444" spans="2:7" x14ac:dyDescent="0.25">
      <c r="B444" s="19">
        <v>41468</v>
      </c>
      <c r="C444" s="20">
        <v>3</v>
      </c>
      <c r="D444" s="18" t="s">
        <v>10</v>
      </c>
      <c r="E444" s="18" t="s">
        <v>28</v>
      </c>
      <c r="F444" s="18" t="s">
        <v>29</v>
      </c>
      <c r="G444" s="21">
        <v>3608.32</v>
      </c>
    </row>
    <row r="445" spans="2:7" x14ac:dyDescent="0.25">
      <c r="B445" s="19">
        <v>41560</v>
      </c>
      <c r="C445" s="20">
        <v>4</v>
      </c>
      <c r="D445" s="18" t="s">
        <v>9</v>
      </c>
      <c r="E445" s="18" t="s">
        <v>26</v>
      </c>
      <c r="F445" s="18" t="s">
        <v>27</v>
      </c>
      <c r="G445" s="21">
        <v>1363.77</v>
      </c>
    </row>
    <row r="446" spans="2:7" x14ac:dyDescent="0.25">
      <c r="B446" s="19">
        <v>41657</v>
      </c>
      <c r="C446" s="20">
        <v>1</v>
      </c>
      <c r="D446" s="18" t="s">
        <v>31</v>
      </c>
      <c r="E446" s="18" t="s">
        <v>28</v>
      </c>
      <c r="F446" s="18" t="s">
        <v>32</v>
      </c>
      <c r="G446" s="21">
        <v>1593.79</v>
      </c>
    </row>
    <row r="447" spans="2:7" x14ac:dyDescent="0.25">
      <c r="B447" s="19">
        <v>41356</v>
      </c>
      <c r="C447" s="20">
        <v>1</v>
      </c>
      <c r="D447" s="18" t="s">
        <v>21</v>
      </c>
      <c r="E447" s="18" t="s">
        <v>19</v>
      </c>
      <c r="F447" s="18" t="s">
        <v>30</v>
      </c>
      <c r="G447" s="21">
        <v>2436.7800000000002</v>
      </c>
    </row>
    <row r="448" spans="2:7" x14ac:dyDescent="0.25">
      <c r="B448" s="19">
        <v>41794</v>
      </c>
      <c r="C448" s="20">
        <v>2</v>
      </c>
      <c r="D448" s="18" t="s">
        <v>8</v>
      </c>
      <c r="E448" s="18" t="s">
        <v>23</v>
      </c>
      <c r="F448" s="18" t="s">
        <v>27</v>
      </c>
      <c r="G448" s="21">
        <v>185.21</v>
      </c>
    </row>
    <row r="449" spans="2:7" x14ac:dyDescent="0.25">
      <c r="B449" s="19">
        <v>41821</v>
      </c>
      <c r="C449" s="20">
        <v>3</v>
      </c>
      <c r="D449" s="18" t="s">
        <v>31</v>
      </c>
      <c r="E449" s="18" t="s">
        <v>28</v>
      </c>
      <c r="F449" s="18" t="s">
        <v>29</v>
      </c>
      <c r="G449" s="21">
        <v>3772.56</v>
      </c>
    </row>
    <row r="450" spans="2:7" x14ac:dyDescent="0.25">
      <c r="B450" s="19">
        <v>41417</v>
      </c>
      <c r="C450" s="20">
        <v>2</v>
      </c>
      <c r="D450" s="18" t="s">
        <v>8</v>
      </c>
      <c r="E450" s="18" t="s">
        <v>23</v>
      </c>
      <c r="F450" s="18" t="s">
        <v>32</v>
      </c>
      <c r="G450" s="21">
        <v>1684.83</v>
      </c>
    </row>
    <row r="451" spans="2:7" x14ac:dyDescent="0.25">
      <c r="B451" s="19">
        <v>41476</v>
      </c>
      <c r="C451" s="20">
        <v>3</v>
      </c>
      <c r="D451" s="18" t="s">
        <v>9</v>
      </c>
      <c r="E451" s="18" t="s">
        <v>26</v>
      </c>
      <c r="F451" s="18" t="s">
        <v>29</v>
      </c>
      <c r="G451" s="21">
        <v>2167.84</v>
      </c>
    </row>
    <row r="452" spans="2:7" x14ac:dyDescent="0.25">
      <c r="B452" s="19">
        <v>41519</v>
      </c>
      <c r="C452" s="20">
        <v>3</v>
      </c>
      <c r="D452" s="18" t="s">
        <v>10</v>
      </c>
      <c r="E452" s="18" t="s">
        <v>28</v>
      </c>
      <c r="F452" s="18" t="s">
        <v>29</v>
      </c>
      <c r="G452" s="21">
        <v>3715.16</v>
      </c>
    </row>
    <row r="453" spans="2:7" x14ac:dyDescent="0.25">
      <c r="B453" s="19">
        <v>41839</v>
      </c>
      <c r="C453" s="20">
        <v>3</v>
      </c>
      <c r="D453" s="18" t="s">
        <v>18</v>
      </c>
      <c r="E453" s="18" t="s">
        <v>19</v>
      </c>
      <c r="F453" s="18" t="s">
        <v>32</v>
      </c>
      <c r="G453" s="21">
        <v>477.1</v>
      </c>
    </row>
    <row r="454" spans="2:7" x14ac:dyDescent="0.25">
      <c r="B454" s="19">
        <v>41737</v>
      </c>
      <c r="C454" s="20">
        <v>2</v>
      </c>
      <c r="D454" s="18" t="s">
        <v>21</v>
      </c>
      <c r="E454" s="18" t="s">
        <v>19</v>
      </c>
      <c r="F454" s="18" t="s">
        <v>24</v>
      </c>
      <c r="G454" s="21">
        <v>1234.9000000000001</v>
      </c>
    </row>
    <row r="455" spans="2:7" x14ac:dyDescent="0.25">
      <c r="B455" s="19">
        <v>41610</v>
      </c>
      <c r="C455" s="20">
        <v>4</v>
      </c>
      <c r="D455" s="18" t="s">
        <v>9</v>
      </c>
      <c r="E455" s="18" t="s">
        <v>26</v>
      </c>
      <c r="F455" s="18" t="s">
        <v>27</v>
      </c>
      <c r="G455" s="21">
        <v>1211.4000000000001</v>
      </c>
    </row>
    <row r="456" spans="2:7" x14ac:dyDescent="0.25">
      <c r="B456" s="19">
        <v>41291</v>
      </c>
      <c r="C456" s="20">
        <v>1</v>
      </c>
      <c r="D456" s="18" t="s">
        <v>10</v>
      </c>
      <c r="E456" s="18" t="s">
        <v>28</v>
      </c>
      <c r="F456" s="18" t="s">
        <v>22</v>
      </c>
      <c r="G456" s="21">
        <v>1469.26</v>
      </c>
    </row>
    <row r="457" spans="2:7" x14ac:dyDescent="0.25">
      <c r="B457" s="19">
        <v>41591</v>
      </c>
      <c r="C457" s="20">
        <v>4</v>
      </c>
      <c r="D457" s="18" t="s">
        <v>11</v>
      </c>
      <c r="E457" s="18" t="s">
        <v>23</v>
      </c>
      <c r="F457" s="18" t="s">
        <v>29</v>
      </c>
      <c r="G457" s="21">
        <v>901.4</v>
      </c>
    </row>
    <row r="458" spans="2:7" x14ac:dyDescent="0.25">
      <c r="B458" s="19">
        <v>41777</v>
      </c>
      <c r="C458" s="20">
        <v>2</v>
      </c>
      <c r="D458" s="18" t="s">
        <v>11</v>
      </c>
      <c r="E458" s="18" t="s">
        <v>23</v>
      </c>
      <c r="F458" s="18" t="s">
        <v>20</v>
      </c>
      <c r="G458" s="21">
        <v>365</v>
      </c>
    </row>
    <row r="459" spans="2:7" x14ac:dyDescent="0.25">
      <c r="B459" s="19">
        <v>41501</v>
      </c>
      <c r="C459" s="20">
        <v>3</v>
      </c>
      <c r="D459" s="18" t="s">
        <v>8</v>
      </c>
      <c r="E459" s="18" t="s">
        <v>23</v>
      </c>
      <c r="F459" s="18" t="s">
        <v>22</v>
      </c>
      <c r="G459" s="21">
        <v>1466.8</v>
      </c>
    </row>
    <row r="460" spans="2:7" x14ac:dyDescent="0.25">
      <c r="B460" s="19">
        <v>41806</v>
      </c>
      <c r="C460" s="20">
        <v>2</v>
      </c>
      <c r="D460" s="18" t="s">
        <v>11</v>
      </c>
      <c r="E460" s="18" t="s">
        <v>23</v>
      </c>
      <c r="F460" s="18" t="s">
        <v>22</v>
      </c>
      <c r="G460" s="21">
        <v>810.98</v>
      </c>
    </row>
    <row r="461" spans="2:7" x14ac:dyDescent="0.25">
      <c r="B461" s="19">
        <v>41681</v>
      </c>
      <c r="C461" s="20">
        <v>1</v>
      </c>
      <c r="D461" s="18" t="s">
        <v>8</v>
      </c>
      <c r="E461" s="18" t="s">
        <v>23</v>
      </c>
      <c r="F461" s="18" t="s">
        <v>33</v>
      </c>
      <c r="G461" s="21">
        <v>636.54</v>
      </c>
    </row>
    <row r="462" spans="2:7" x14ac:dyDescent="0.25">
      <c r="B462" s="19">
        <v>41386</v>
      </c>
      <c r="C462" s="20">
        <v>2</v>
      </c>
      <c r="D462" s="18" t="s">
        <v>11</v>
      </c>
      <c r="E462" s="18" t="s">
        <v>23</v>
      </c>
      <c r="F462" s="18" t="s">
        <v>22</v>
      </c>
      <c r="G462" s="21">
        <v>815.04</v>
      </c>
    </row>
    <row r="463" spans="2:7" x14ac:dyDescent="0.25">
      <c r="B463" s="19">
        <v>41333</v>
      </c>
      <c r="C463" s="20">
        <v>1</v>
      </c>
      <c r="D463" s="18" t="s">
        <v>8</v>
      </c>
      <c r="E463" s="18" t="s">
        <v>23</v>
      </c>
      <c r="F463" s="18" t="s">
        <v>20</v>
      </c>
      <c r="G463" s="21">
        <v>245.21</v>
      </c>
    </row>
    <row r="464" spans="2:7" x14ac:dyDescent="0.25">
      <c r="B464" s="19">
        <v>41546</v>
      </c>
      <c r="C464" s="20">
        <v>3</v>
      </c>
      <c r="D464" s="18" t="s">
        <v>25</v>
      </c>
      <c r="E464" s="18" t="s">
        <v>26</v>
      </c>
      <c r="F464" s="18" t="s">
        <v>27</v>
      </c>
      <c r="G464" s="21">
        <v>1386.43</v>
      </c>
    </row>
    <row r="465" spans="2:7" x14ac:dyDescent="0.25">
      <c r="B465" s="19">
        <v>41425</v>
      </c>
      <c r="C465" s="20">
        <v>2</v>
      </c>
      <c r="D465" s="18" t="s">
        <v>31</v>
      </c>
      <c r="E465" s="18" t="s">
        <v>28</v>
      </c>
      <c r="F465" s="18" t="s">
        <v>22</v>
      </c>
      <c r="G465" s="21">
        <v>656.53</v>
      </c>
    </row>
    <row r="466" spans="2:7" x14ac:dyDescent="0.25">
      <c r="B466" s="19">
        <v>41506</v>
      </c>
      <c r="C466" s="20">
        <v>3</v>
      </c>
      <c r="D466" s="18" t="s">
        <v>31</v>
      </c>
      <c r="E466" s="18" t="s">
        <v>28</v>
      </c>
      <c r="F466" s="18" t="s">
        <v>30</v>
      </c>
      <c r="G466" s="21">
        <v>2257.3000000000002</v>
      </c>
    </row>
    <row r="467" spans="2:7" x14ac:dyDescent="0.25">
      <c r="B467" s="19">
        <v>41842</v>
      </c>
      <c r="C467" s="20">
        <v>3</v>
      </c>
      <c r="D467" s="18" t="s">
        <v>21</v>
      </c>
      <c r="E467" s="18" t="s">
        <v>19</v>
      </c>
      <c r="F467" s="18" t="s">
        <v>27</v>
      </c>
      <c r="G467" s="21">
        <v>584.26</v>
      </c>
    </row>
    <row r="468" spans="2:7" x14ac:dyDescent="0.25">
      <c r="B468" s="19">
        <v>41429</v>
      </c>
      <c r="C468" s="20">
        <v>2</v>
      </c>
      <c r="D468" s="18" t="s">
        <v>18</v>
      </c>
      <c r="E468" s="18" t="s">
        <v>19</v>
      </c>
      <c r="F468" s="18" t="s">
        <v>33</v>
      </c>
      <c r="G468" s="21">
        <v>2893.97</v>
      </c>
    </row>
    <row r="469" spans="2:7" x14ac:dyDescent="0.25">
      <c r="B469" s="19">
        <v>41585</v>
      </c>
      <c r="C469" s="20">
        <v>4</v>
      </c>
      <c r="D469" s="18" t="s">
        <v>18</v>
      </c>
      <c r="E469" s="18" t="s">
        <v>19</v>
      </c>
      <c r="F469" s="18" t="s">
        <v>32</v>
      </c>
      <c r="G469" s="21">
        <v>1276.8800000000001</v>
      </c>
    </row>
    <row r="470" spans="2:7" x14ac:dyDescent="0.25">
      <c r="B470" s="19">
        <v>41691</v>
      </c>
      <c r="C470" s="20">
        <v>1</v>
      </c>
      <c r="D470" s="18" t="s">
        <v>31</v>
      </c>
      <c r="E470" s="18" t="s">
        <v>28</v>
      </c>
      <c r="F470" s="18" t="s">
        <v>33</v>
      </c>
      <c r="G470" s="21">
        <v>1274.8499999999999</v>
      </c>
    </row>
    <row r="471" spans="2:7" x14ac:dyDescent="0.25">
      <c r="B471" s="19">
        <v>41615</v>
      </c>
      <c r="C471" s="20">
        <v>4</v>
      </c>
      <c r="D471" s="18" t="s">
        <v>31</v>
      </c>
      <c r="E471" s="18" t="s">
        <v>28</v>
      </c>
      <c r="F471" s="18" t="s">
        <v>30</v>
      </c>
      <c r="G471" s="21">
        <v>1384.51</v>
      </c>
    </row>
    <row r="472" spans="2:7" x14ac:dyDescent="0.25">
      <c r="B472" s="19">
        <v>41456</v>
      </c>
      <c r="C472" s="20">
        <v>3</v>
      </c>
      <c r="D472" s="18" t="s">
        <v>11</v>
      </c>
      <c r="E472" s="18" t="s">
        <v>23</v>
      </c>
      <c r="F472" s="18" t="s">
        <v>22</v>
      </c>
      <c r="G472" s="21">
        <v>1647.19</v>
      </c>
    </row>
    <row r="473" spans="2:7" x14ac:dyDescent="0.25">
      <c r="B473" s="19">
        <v>41926</v>
      </c>
      <c r="C473" s="20">
        <v>4</v>
      </c>
      <c r="D473" s="18" t="s">
        <v>9</v>
      </c>
      <c r="E473" s="18" t="s">
        <v>26</v>
      </c>
      <c r="F473" s="18" t="s">
        <v>27</v>
      </c>
      <c r="G473" s="21">
        <v>1451.24</v>
      </c>
    </row>
    <row r="474" spans="2:7" x14ac:dyDescent="0.25">
      <c r="B474" s="19">
        <v>41447</v>
      </c>
      <c r="C474" s="20">
        <v>2</v>
      </c>
      <c r="D474" s="18" t="s">
        <v>11</v>
      </c>
      <c r="E474" s="18" t="s">
        <v>23</v>
      </c>
      <c r="F474" s="18" t="s">
        <v>33</v>
      </c>
      <c r="G474" s="21">
        <v>2983.98</v>
      </c>
    </row>
    <row r="475" spans="2:7" x14ac:dyDescent="0.25">
      <c r="B475" s="19">
        <v>41655</v>
      </c>
      <c r="C475" s="20">
        <v>1</v>
      </c>
      <c r="D475" s="18" t="s">
        <v>10</v>
      </c>
      <c r="E475" s="18" t="s">
        <v>28</v>
      </c>
      <c r="F475" s="18" t="s">
        <v>30</v>
      </c>
      <c r="G475" s="21">
        <v>2672.04</v>
      </c>
    </row>
    <row r="476" spans="2:7" x14ac:dyDescent="0.25">
      <c r="B476" s="19">
        <v>41470</v>
      </c>
      <c r="C476" s="20">
        <v>3</v>
      </c>
      <c r="D476" s="18" t="s">
        <v>21</v>
      </c>
      <c r="E476" s="18" t="s">
        <v>19</v>
      </c>
      <c r="F476" s="18" t="s">
        <v>32</v>
      </c>
      <c r="G476" s="21">
        <v>1232.3900000000001</v>
      </c>
    </row>
    <row r="477" spans="2:7" x14ac:dyDescent="0.25">
      <c r="B477" s="19">
        <v>41814</v>
      </c>
      <c r="C477" s="20">
        <v>2</v>
      </c>
      <c r="D477" s="18" t="s">
        <v>11</v>
      </c>
      <c r="E477" s="18" t="s">
        <v>23</v>
      </c>
      <c r="F477" s="18" t="s">
        <v>30</v>
      </c>
      <c r="G477" s="21">
        <v>2016.36</v>
      </c>
    </row>
    <row r="478" spans="2:7" x14ac:dyDescent="0.25">
      <c r="B478" s="19">
        <v>41385</v>
      </c>
      <c r="C478" s="20">
        <v>2</v>
      </c>
      <c r="D478" s="18" t="s">
        <v>11</v>
      </c>
      <c r="E478" s="18" t="s">
        <v>23</v>
      </c>
      <c r="F478" s="18" t="s">
        <v>20</v>
      </c>
      <c r="G478" s="21">
        <v>545.82000000000005</v>
      </c>
    </row>
    <row r="479" spans="2:7" x14ac:dyDescent="0.25">
      <c r="B479" s="19">
        <v>41698</v>
      </c>
      <c r="C479" s="20">
        <v>1</v>
      </c>
      <c r="D479" s="18" t="s">
        <v>10</v>
      </c>
      <c r="E479" s="18" t="s">
        <v>28</v>
      </c>
      <c r="F479" s="18" t="s">
        <v>30</v>
      </c>
      <c r="G479" s="21">
        <v>853.91</v>
      </c>
    </row>
    <row r="480" spans="2:7" x14ac:dyDescent="0.25">
      <c r="B480" s="19">
        <v>41284</v>
      </c>
      <c r="C480" s="20">
        <v>1</v>
      </c>
      <c r="D480" s="18" t="s">
        <v>25</v>
      </c>
      <c r="E480" s="18" t="s">
        <v>26</v>
      </c>
      <c r="F480" s="18" t="s">
        <v>27</v>
      </c>
      <c r="G480" s="21">
        <v>684.03</v>
      </c>
    </row>
    <row r="481" spans="2:7" x14ac:dyDescent="0.25">
      <c r="B481" s="19">
        <v>41710</v>
      </c>
      <c r="C481" s="20">
        <v>1</v>
      </c>
      <c r="D481" s="18" t="s">
        <v>11</v>
      </c>
      <c r="E481" s="18" t="s">
        <v>23</v>
      </c>
      <c r="F481" s="18" t="s">
        <v>22</v>
      </c>
      <c r="G481" s="21">
        <v>770.5</v>
      </c>
    </row>
    <row r="482" spans="2:7" x14ac:dyDescent="0.25">
      <c r="B482" s="19">
        <v>41575</v>
      </c>
      <c r="C482" s="20">
        <v>4</v>
      </c>
      <c r="D482" s="18" t="s">
        <v>25</v>
      </c>
      <c r="E482" s="18" t="s">
        <v>26</v>
      </c>
      <c r="F482" s="18" t="s">
        <v>30</v>
      </c>
      <c r="G482" s="21">
        <v>1237.24</v>
      </c>
    </row>
    <row r="483" spans="2:7" x14ac:dyDescent="0.25">
      <c r="B483" s="19">
        <v>41546</v>
      </c>
      <c r="C483" s="20">
        <v>3</v>
      </c>
      <c r="D483" s="18" t="s">
        <v>10</v>
      </c>
      <c r="E483" s="18" t="s">
        <v>28</v>
      </c>
      <c r="F483" s="18" t="s">
        <v>33</v>
      </c>
      <c r="G483" s="21">
        <v>843.56</v>
      </c>
    </row>
    <row r="484" spans="2:7" x14ac:dyDescent="0.25">
      <c r="B484" s="19">
        <v>41943</v>
      </c>
      <c r="C484" s="20">
        <v>4</v>
      </c>
      <c r="D484" s="18" t="s">
        <v>9</v>
      </c>
      <c r="E484" s="18" t="s">
        <v>26</v>
      </c>
      <c r="F484" s="18" t="s">
        <v>32</v>
      </c>
      <c r="G484" s="21">
        <v>1410.65</v>
      </c>
    </row>
    <row r="485" spans="2:7" x14ac:dyDescent="0.25">
      <c r="B485" s="19">
        <v>41468</v>
      </c>
      <c r="C485" s="20">
        <v>3</v>
      </c>
      <c r="D485" s="18" t="s">
        <v>8</v>
      </c>
      <c r="E485" s="18" t="s">
        <v>23</v>
      </c>
      <c r="F485" s="18" t="s">
        <v>24</v>
      </c>
      <c r="G485" s="21">
        <v>1808.81</v>
      </c>
    </row>
    <row r="486" spans="2:7" x14ac:dyDescent="0.25">
      <c r="B486" s="19">
        <v>41915</v>
      </c>
      <c r="C486" s="20">
        <v>4</v>
      </c>
      <c r="D486" s="18" t="s">
        <v>18</v>
      </c>
      <c r="E486" s="18" t="s">
        <v>19</v>
      </c>
      <c r="F486" s="18" t="s">
        <v>27</v>
      </c>
      <c r="G486" s="21">
        <v>1089.21</v>
      </c>
    </row>
    <row r="487" spans="2:7" x14ac:dyDescent="0.25">
      <c r="B487" s="19">
        <v>41664</v>
      </c>
      <c r="C487" s="20">
        <v>1</v>
      </c>
      <c r="D487" s="18" t="s">
        <v>9</v>
      </c>
      <c r="E487" s="18" t="s">
        <v>26</v>
      </c>
      <c r="F487" s="18" t="s">
        <v>22</v>
      </c>
      <c r="G487" s="21">
        <v>126.79</v>
      </c>
    </row>
    <row r="488" spans="2:7" x14ac:dyDescent="0.25">
      <c r="B488" s="19">
        <v>41813</v>
      </c>
      <c r="C488" s="20">
        <v>2</v>
      </c>
      <c r="D488" s="18" t="s">
        <v>8</v>
      </c>
      <c r="E488" s="18" t="s">
        <v>23</v>
      </c>
      <c r="F488" s="18" t="s">
        <v>20</v>
      </c>
      <c r="G488" s="21">
        <v>409.34</v>
      </c>
    </row>
    <row r="489" spans="2:7" x14ac:dyDescent="0.25">
      <c r="B489" s="19">
        <v>41361</v>
      </c>
      <c r="C489" s="20">
        <v>1</v>
      </c>
      <c r="D489" s="18" t="s">
        <v>9</v>
      </c>
      <c r="E489" s="18" t="s">
        <v>26</v>
      </c>
      <c r="F489" s="18" t="s">
        <v>22</v>
      </c>
      <c r="G489" s="21">
        <v>733.07</v>
      </c>
    </row>
    <row r="490" spans="2:7" x14ac:dyDescent="0.25">
      <c r="B490" s="19">
        <v>41389</v>
      </c>
      <c r="C490" s="20">
        <v>2</v>
      </c>
      <c r="D490" s="18" t="s">
        <v>18</v>
      </c>
      <c r="E490" s="18" t="s">
        <v>19</v>
      </c>
      <c r="F490" s="18" t="s">
        <v>20</v>
      </c>
      <c r="G490" s="21">
        <v>537.69000000000005</v>
      </c>
    </row>
    <row r="491" spans="2:7" x14ac:dyDescent="0.25">
      <c r="B491" s="19">
        <v>41818</v>
      </c>
      <c r="C491" s="20">
        <v>2</v>
      </c>
      <c r="D491" s="18" t="s">
        <v>25</v>
      </c>
      <c r="E491" s="18" t="s">
        <v>26</v>
      </c>
      <c r="F491" s="18" t="s">
        <v>24</v>
      </c>
      <c r="G491" s="21">
        <v>218.85</v>
      </c>
    </row>
    <row r="492" spans="2:7" x14ac:dyDescent="0.25">
      <c r="B492" s="19">
        <v>41356</v>
      </c>
      <c r="C492" s="20">
        <v>1</v>
      </c>
      <c r="D492" s="18" t="s">
        <v>8</v>
      </c>
      <c r="E492" s="18" t="s">
        <v>23</v>
      </c>
      <c r="F492" s="18" t="s">
        <v>20</v>
      </c>
      <c r="G492" s="21">
        <v>486.95</v>
      </c>
    </row>
    <row r="493" spans="2:7" x14ac:dyDescent="0.25">
      <c r="B493" s="19">
        <v>41316</v>
      </c>
      <c r="C493" s="20">
        <v>1</v>
      </c>
      <c r="D493" s="18" t="s">
        <v>9</v>
      </c>
      <c r="E493" s="18" t="s">
        <v>26</v>
      </c>
      <c r="F493" s="18" t="s">
        <v>24</v>
      </c>
      <c r="G493" s="21">
        <v>1118.52</v>
      </c>
    </row>
    <row r="494" spans="2:7" x14ac:dyDescent="0.25">
      <c r="B494" s="19">
        <v>41309</v>
      </c>
      <c r="C494" s="20">
        <v>1</v>
      </c>
      <c r="D494" s="18" t="s">
        <v>9</v>
      </c>
      <c r="E494" s="18" t="s">
        <v>26</v>
      </c>
      <c r="F494" s="18" t="s">
        <v>20</v>
      </c>
      <c r="G494" s="21">
        <v>792.68</v>
      </c>
    </row>
    <row r="495" spans="2:7" x14ac:dyDescent="0.25">
      <c r="B495" s="19">
        <v>41573</v>
      </c>
      <c r="C495" s="20">
        <v>4</v>
      </c>
      <c r="D495" s="18" t="s">
        <v>10</v>
      </c>
      <c r="E495" s="18" t="s">
        <v>28</v>
      </c>
      <c r="F495" s="18" t="s">
        <v>22</v>
      </c>
      <c r="G495" s="21">
        <v>1614.51</v>
      </c>
    </row>
    <row r="496" spans="2:7" x14ac:dyDescent="0.25">
      <c r="B496" s="19">
        <v>41582</v>
      </c>
      <c r="C496" s="20">
        <v>4</v>
      </c>
      <c r="D496" s="18" t="s">
        <v>21</v>
      </c>
      <c r="E496" s="18" t="s">
        <v>19</v>
      </c>
      <c r="F496" s="18" t="s">
        <v>22</v>
      </c>
      <c r="G496" s="21">
        <v>547.44000000000005</v>
      </c>
    </row>
    <row r="497" spans="2:7" x14ac:dyDescent="0.25">
      <c r="B497" s="19">
        <v>41791</v>
      </c>
      <c r="C497" s="20">
        <v>2</v>
      </c>
      <c r="D497" s="18" t="s">
        <v>18</v>
      </c>
      <c r="E497" s="18" t="s">
        <v>19</v>
      </c>
      <c r="F497" s="18" t="s">
        <v>32</v>
      </c>
      <c r="G497" s="21">
        <v>177.62</v>
      </c>
    </row>
    <row r="498" spans="2:7" x14ac:dyDescent="0.25">
      <c r="B498" s="19">
        <v>41438</v>
      </c>
      <c r="C498" s="20">
        <v>2</v>
      </c>
      <c r="D498" s="18" t="s">
        <v>31</v>
      </c>
      <c r="E498" s="18" t="s">
        <v>28</v>
      </c>
      <c r="F498" s="18" t="s">
        <v>22</v>
      </c>
      <c r="G498" s="21">
        <v>662.68</v>
      </c>
    </row>
    <row r="499" spans="2:7" x14ac:dyDescent="0.25">
      <c r="B499" s="19">
        <v>41688</v>
      </c>
      <c r="C499" s="20">
        <v>1</v>
      </c>
      <c r="D499" s="18" t="s">
        <v>11</v>
      </c>
      <c r="E499" s="18" t="s">
        <v>23</v>
      </c>
      <c r="F499" s="18" t="s">
        <v>29</v>
      </c>
      <c r="G499" s="21">
        <v>3333.04</v>
      </c>
    </row>
    <row r="500" spans="2:7" x14ac:dyDescent="0.25">
      <c r="B500" s="19">
        <v>41934</v>
      </c>
      <c r="C500" s="20">
        <v>4</v>
      </c>
      <c r="D500" s="18" t="s">
        <v>31</v>
      </c>
      <c r="E500" s="18" t="s">
        <v>28</v>
      </c>
      <c r="F500" s="18" t="s">
        <v>27</v>
      </c>
      <c r="G500" s="21">
        <v>161.47999999999999</v>
      </c>
    </row>
    <row r="501" spans="2:7" x14ac:dyDescent="0.25">
      <c r="B501" s="19">
        <v>41859</v>
      </c>
      <c r="C501" s="20">
        <v>3</v>
      </c>
      <c r="D501" s="18" t="s">
        <v>10</v>
      </c>
      <c r="E501" s="18" t="s">
        <v>28</v>
      </c>
      <c r="F501" s="18" t="s">
        <v>27</v>
      </c>
      <c r="G501" s="21">
        <v>1552.51</v>
      </c>
    </row>
    <row r="502" spans="2:7" x14ac:dyDescent="0.25">
      <c r="B502" s="19">
        <v>41867</v>
      </c>
      <c r="C502" s="20">
        <v>3</v>
      </c>
      <c r="D502" s="18" t="s">
        <v>10</v>
      </c>
      <c r="E502" s="18" t="s">
        <v>28</v>
      </c>
      <c r="F502" s="18" t="s">
        <v>30</v>
      </c>
      <c r="G502" s="21">
        <v>2475.64</v>
      </c>
    </row>
    <row r="503" spans="2:7" x14ac:dyDescent="0.25">
      <c r="B503" s="19">
        <v>41890</v>
      </c>
      <c r="C503" s="20">
        <v>3</v>
      </c>
      <c r="D503" s="18" t="s">
        <v>25</v>
      </c>
      <c r="E503" s="18" t="s">
        <v>26</v>
      </c>
      <c r="F503" s="18" t="s">
        <v>24</v>
      </c>
      <c r="G503" s="21">
        <v>394.41</v>
      </c>
    </row>
    <row r="504" spans="2:7" x14ac:dyDescent="0.25">
      <c r="B504" s="19">
        <v>41992</v>
      </c>
      <c r="C504" s="20">
        <v>4</v>
      </c>
      <c r="D504" s="18" t="s">
        <v>9</v>
      </c>
      <c r="E504" s="18" t="s">
        <v>26</v>
      </c>
      <c r="F504" s="18" t="s">
        <v>29</v>
      </c>
      <c r="G504" s="21">
        <v>3570.84</v>
      </c>
    </row>
    <row r="505" spans="2:7" x14ac:dyDescent="0.25">
      <c r="B505" s="19">
        <v>41474</v>
      </c>
      <c r="C505" s="20">
        <v>3</v>
      </c>
      <c r="D505" s="18" t="s">
        <v>10</v>
      </c>
      <c r="E505" s="18" t="s">
        <v>28</v>
      </c>
      <c r="F505" s="18" t="s">
        <v>24</v>
      </c>
      <c r="G505" s="21">
        <v>780.79</v>
      </c>
    </row>
    <row r="506" spans="2:7" x14ac:dyDescent="0.25">
      <c r="B506" s="19">
        <v>41711</v>
      </c>
      <c r="C506" s="20">
        <v>1</v>
      </c>
      <c r="D506" s="18" t="s">
        <v>9</v>
      </c>
      <c r="E506" s="18" t="s">
        <v>26</v>
      </c>
      <c r="F506" s="18" t="s">
        <v>24</v>
      </c>
      <c r="G506" s="21">
        <v>241.67</v>
      </c>
    </row>
    <row r="507" spans="2:7" x14ac:dyDescent="0.25">
      <c r="B507" s="19">
        <v>41766</v>
      </c>
      <c r="C507" s="20">
        <v>2</v>
      </c>
      <c r="D507" s="18" t="s">
        <v>25</v>
      </c>
      <c r="E507" s="18" t="s">
        <v>26</v>
      </c>
      <c r="F507" s="18" t="s">
        <v>33</v>
      </c>
      <c r="G507" s="21">
        <v>324</v>
      </c>
    </row>
    <row r="508" spans="2:7" x14ac:dyDescent="0.25">
      <c r="B508" s="19">
        <v>41300</v>
      </c>
      <c r="C508" s="20">
        <v>1</v>
      </c>
      <c r="D508" s="18" t="s">
        <v>10</v>
      </c>
      <c r="E508" s="18" t="s">
        <v>28</v>
      </c>
      <c r="F508" s="18" t="s">
        <v>20</v>
      </c>
      <c r="G508" s="21">
        <v>788.94</v>
      </c>
    </row>
    <row r="509" spans="2:7" x14ac:dyDescent="0.25">
      <c r="B509" s="19">
        <v>41527</v>
      </c>
      <c r="C509" s="20">
        <v>3</v>
      </c>
      <c r="D509" s="18" t="s">
        <v>25</v>
      </c>
      <c r="E509" s="18" t="s">
        <v>26</v>
      </c>
      <c r="F509" s="18" t="s">
        <v>27</v>
      </c>
      <c r="G509" s="21">
        <v>1650.64</v>
      </c>
    </row>
    <row r="510" spans="2:7" x14ac:dyDescent="0.25">
      <c r="B510" s="19">
        <v>41767</v>
      </c>
      <c r="C510" s="20">
        <v>2</v>
      </c>
      <c r="D510" s="18" t="s">
        <v>11</v>
      </c>
      <c r="E510" s="18" t="s">
        <v>23</v>
      </c>
      <c r="F510" s="18" t="s">
        <v>20</v>
      </c>
      <c r="G510" s="21">
        <v>380.22</v>
      </c>
    </row>
    <row r="511" spans="2:7" x14ac:dyDescent="0.25">
      <c r="B511" s="19">
        <v>41430</v>
      </c>
      <c r="C511" s="20">
        <v>2</v>
      </c>
      <c r="D511" s="18" t="s">
        <v>21</v>
      </c>
      <c r="E511" s="18" t="s">
        <v>19</v>
      </c>
      <c r="F511" s="18" t="s">
        <v>32</v>
      </c>
      <c r="G511" s="21">
        <v>509.21</v>
      </c>
    </row>
    <row r="512" spans="2:7" x14ac:dyDescent="0.25">
      <c r="B512" s="19">
        <v>41772</v>
      </c>
      <c r="C512" s="20">
        <v>2</v>
      </c>
      <c r="D512" s="18" t="s">
        <v>9</v>
      </c>
      <c r="E512" s="18" t="s">
        <v>26</v>
      </c>
      <c r="F512" s="18" t="s">
        <v>20</v>
      </c>
      <c r="G512" s="21">
        <v>340.49</v>
      </c>
    </row>
    <row r="513" spans="2:7" x14ac:dyDescent="0.25">
      <c r="B513" s="19">
        <v>41620</v>
      </c>
      <c r="C513" s="20">
        <v>4</v>
      </c>
      <c r="D513" s="18" t="s">
        <v>21</v>
      </c>
      <c r="E513" s="18" t="s">
        <v>19</v>
      </c>
      <c r="F513" s="18" t="s">
        <v>20</v>
      </c>
      <c r="G513" s="21">
        <v>120.48</v>
      </c>
    </row>
    <row r="514" spans="2:7" x14ac:dyDescent="0.25">
      <c r="B514" s="19">
        <v>41944</v>
      </c>
      <c r="C514" s="20">
        <v>4</v>
      </c>
      <c r="D514" s="18" t="s">
        <v>9</v>
      </c>
      <c r="E514" s="18" t="s">
        <v>26</v>
      </c>
      <c r="F514" s="18" t="s">
        <v>24</v>
      </c>
      <c r="G514" s="21">
        <v>903.05</v>
      </c>
    </row>
    <row r="515" spans="2:7" x14ac:dyDescent="0.25">
      <c r="B515" s="19">
        <v>41407</v>
      </c>
      <c r="C515" s="20">
        <v>2</v>
      </c>
      <c r="D515" s="18" t="s">
        <v>9</v>
      </c>
      <c r="E515" s="18" t="s">
        <v>26</v>
      </c>
      <c r="F515" s="18" t="s">
        <v>20</v>
      </c>
      <c r="G515" s="21">
        <v>252.3</v>
      </c>
    </row>
    <row r="516" spans="2:7" x14ac:dyDescent="0.25">
      <c r="B516" s="19">
        <v>41988</v>
      </c>
      <c r="C516" s="20">
        <v>4</v>
      </c>
      <c r="D516" s="18" t="s">
        <v>8</v>
      </c>
      <c r="E516" s="18" t="s">
        <v>23</v>
      </c>
      <c r="F516" s="18" t="s">
        <v>33</v>
      </c>
      <c r="G516" s="21">
        <v>1763.57</v>
      </c>
    </row>
    <row r="517" spans="2:7" x14ac:dyDescent="0.25">
      <c r="B517" s="19">
        <v>41594</v>
      </c>
      <c r="C517" s="20">
        <v>4</v>
      </c>
      <c r="D517" s="18" t="s">
        <v>21</v>
      </c>
      <c r="E517" s="18" t="s">
        <v>19</v>
      </c>
      <c r="F517" s="18" t="s">
        <v>32</v>
      </c>
      <c r="G517" s="21">
        <v>1188.17</v>
      </c>
    </row>
    <row r="518" spans="2:7" x14ac:dyDescent="0.25">
      <c r="B518" s="19">
        <v>41892</v>
      </c>
      <c r="C518" s="20">
        <v>3</v>
      </c>
      <c r="D518" s="18" t="s">
        <v>21</v>
      </c>
      <c r="E518" s="18" t="s">
        <v>19</v>
      </c>
      <c r="F518" s="18" t="s">
        <v>24</v>
      </c>
      <c r="G518" s="21">
        <v>278.98</v>
      </c>
    </row>
    <row r="519" spans="2:7" x14ac:dyDescent="0.25">
      <c r="B519" s="19">
        <v>41664</v>
      </c>
      <c r="C519" s="20">
        <v>1</v>
      </c>
      <c r="D519" s="18" t="s">
        <v>9</v>
      </c>
      <c r="E519" s="18" t="s">
        <v>26</v>
      </c>
      <c r="F519" s="18" t="s">
        <v>30</v>
      </c>
      <c r="G519" s="21">
        <v>424.1</v>
      </c>
    </row>
    <row r="520" spans="2:7" x14ac:dyDescent="0.25">
      <c r="B520" s="19">
        <v>41510</v>
      </c>
      <c r="C520" s="20">
        <v>3</v>
      </c>
      <c r="D520" s="18" t="s">
        <v>11</v>
      </c>
      <c r="E520" s="18" t="s">
        <v>23</v>
      </c>
      <c r="F520" s="18" t="s">
        <v>33</v>
      </c>
      <c r="G520" s="21">
        <v>902.03</v>
      </c>
    </row>
    <row r="521" spans="2:7" x14ac:dyDescent="0.25">
      <c r="B521" s="19">
        <v>41586</v>
      </c>
      <c r="C521" s="20">
        <v>4</v>
      </c>
      <c r="D521" s="18" t="s">
        <v>11</v>
      </c>
      <c r="E521" s="18" t="s">
        <v>23</v>
      </c>
      <c r="F521" s="18" t="s">
        <v>30</v>
      </c>
      <c r="G521" s="21">
        <v>552.51</v>
      </c>
    </row>
    <row r="522" spans="2:7" x14ac:dyDescent="0.25">
      <c r="B522" s="19">
        <v>41782</v>
      </c>
      <c r="C522" s="20">
        <v>2</v>
      </c>
      <c r="D522" s="18" t="s">
        <v>11</v>
      </c>
      <c r="E522" s="18" t="s">
        <v>23</v>
      </c>
      <c r="F522" s="18" t="s">
        <v>30</v>
      </c>
      <c r="G522" s="21">
        <v>1555.04</v>
      </c>
    </row>
    <row r="523" spans="2:7" x14ac:dyDescent="0.25">
      <c r="B523" s="19">
        <v>41629</v>
      </c>
      <c r="C523" s="20">
        <v>4</v>
      </c>
      <c r="D523" s="18" t="s">
        <v>10</v>
      </c>
      <c r="E523" s="18" t="s">
        <v>28</v>
      </c>
      <c r="F523" s="18" t="s">
        <v>29</v>
      </c>
      <c r="G523" s="21">
        <v>2339.6</v>
      </c>
    </row>
    <row r="524" spans="2:7" x14ac:dyDescent="0.25">
      <c r="B524" s="19">
        <v>41403</v>
      </c>
      <c r="C524" s="20">
        <v>2</v>
      </c>
      <c r="D524" s="18" t="s">
        <v>10</v>
      </c>
      <c r="E524" s="18" t="s">
        <v>28</v>
      </c>
      <c r="F524" s="18" t="s">
        <v>20</v>
      </c>
      <c r="G524" s="21">
        <v>328.92</v>
      </c>
    </row>
    <row r="525" spans="2:7" x14ac:dyDescent="0.25">
      <c r="B525" s="19">
        <v>41297</v>
      </c>
      <c r="C525" s="20">
        <v>1</v>
      </c>
      <c r="D525" s="18" t="s">
        <v>31</v>
      </c>
      <c r="E525" s="18" t="s">
        <v>28</v>
      </c>
      <c r="F525" s="18" t="s">
        <v>20</v>
      </c>
      <c r="G525" s="21">
        <v>312.16000000000003</v>
      </c>
    </row>
    <row r="526" spans="2:7" x14ac:dyDescent="0.25">
      <c r="B526" s="19">
        <v>41645</v>
      </c>
      <c r="C526" s="20">
        <v>1</v>
      </c>
      <c r="D526" s="18" t="s">
        <v>25</v>
      </c>
      <c r="E526" s="18" t="s">
        <v>26</v>
      </c>
      <c r="F526" s="18" t="s">
        <v>32</v>
      </c>
      <c r="G526" s="21">
        <v>941.44</v>
      </c>
    </row>
    <row r="527" spans="2:7" x14ac:dyDescent="0.25">
      <c r="B527" s="19">
        <v>41463</v>
      </c>
      <c r="C527" s="20">
        <v>3</v>
      </c>
      <c r="D527" s="18" t="s">
        <v>21</v>
      </c>
      <c r="E527" s="18" t="s">
        <v>19</v>
      </c>
      <c r="F527" s="18" t="s">
        <v>33</v>
      </c>
      <c r="G527" s="21">
        <v>2907.36</v>
      </c>
    </row>
    <row r="528" spans="2:7" x14ac:dyDescent="0.25">
      <c r="B528" s="19">
        <v>41917</v>
      </c>
      <c r="C528" s="20">
        <v>4</v>
      </c>
      <c r="D528" s="18" t="s">
        <v>10</v>
      </c>
      <c r="E528" s="18" t="s">
        <v>28</v>
      </c>
      <c r="F528" s="18" t="s">
        <v>30</v>
      </c>
      <c r="G528" s="21">
        <v>2418.02</v>
      </c>
    </row>
    <row r="529" spans="2:7" x14ac:dyDescent="0.25">
      <c r="B529" s="19">
        <v>42003</v>
      </c>
      <c r="C529" s="20">
        <v>4</v>
      </c>
      <c r="D529" s="18" t="s">
        <v>31</v>
      </c>
      <c r="E529" s="18" t="s">
        <v>28</v>
      </c>
      <c r="F529" s="18" t="s">
        <v>33</v>
      </c>
      <c r="G529" s="21">
        <v>1700.22</v>
      </c>
    </row>
    <row r="530" spans="2:7" x14ac:dyDescent="0.25">
      <c r="B530" s="19">
        <v>41892</v>
      </c>
      <c r="C530" s="20">
        <v>3</v>
      </c>
      <c r="D530" s="18" t="s">
        <v>9</v>
      </c>
      <c r="E530" s="18" t="s">
        <v>26</v>
      </c>
      <c r="F530" s="18" t="s">
        <v>20</v>
      </c>
      <c r="G530" s="21">
        <v>707.19</v>
      </c>
    </row>
    <row r="531" spans="2:7" x14ac:dyDescent="0.25">
      <c r="B531" s="19">
        <v>41410</v>
      </c>
      <c r="C531" s="20">
        <v>2</v>
      </c>
      <c r="D531" s="18" t="s">
        <v>21</v>
      </c>
      <c r="E531" s="18" t="s">
        <v>19</v>
      </c>
      <c r="F531" s="18" t="s">
        <v>33</v>
      </c>
      <c r="G531" s="21">
        <v>1254.32</v>
      </c>
    </row>
    <row r="532" spans="2:7" x14ac:dyDescent="0.25">
      <c r="B532" s="19">
        <v>41700</v>
      </c>
      <c r="C532" s="20">
        <v>1</v>
      </c>
      <c r="D532" s="18" t="s">
        <v>21</v>
      </c>
      <c r="E532" s="18" t="s">
        <v>19</v>
      </c>
      <c r="F532" s="18" t="s">
        <v>30</v>
      </c>
      <c r="G532" s="21">
        <v>2007.82</v>
      </c>
    </row>
    <row r="533" spans="2:7" x14ac:dyDescent="0.25">
      <c r="B533" s="19">
        <v>41663</v>
      </c>
      <c r="C533" s="20">
        <v>1</v>
      </c>
      <c r="D533" s="18" t="s">
        <v>25</v>
      </c>
      <c r="E533" s="18" t="s">
        <v>26</v>
      </c>
      <c r="F533" s="18" t="s">
        <v>30</v>
      </c>
      <c r="G533" s="21">
        <v>282.25</v>
      </c>
    </row>
    <row r="534" spans="2:7" x14ac:dyDescent="0.25">
      <c r="B534" s="19">
        <v>41905</v>
      </c>
      <c r="C534" s="20">
        <v>3</v>
      </c>
      <c r="D534" s="18" t="s">
        <v>31</v>
      </c>
      <c r="E534" s="18" t="s">
        <v>28</v>
      </c>
      <c r="F534" s="18" t="s">
        <v>20</v>
      </c>
      <c r="G534" s="21">
        <v>438.41</v>
      </c>
    </row>
    <row r="535" spans="2:7" x14ac:dyDescent="0.25">
      <c r="B535" s="19">
        <v>41642</v>
      </c>
      <c r="C535" s="20">
        <v>1</v>
      </c>
      <c r="D535" s="18" t="s">
        <v>21</v>
      </c>
      <c r="E535" s="18" t="s">
        <v>19</v>
      </c>
      <c r="F535" s="18" t="s">
        <v>27</v>
      </c>
      <c r="G535" s="21">
        <v>1119.3</v>
      </c>
    </row>
    <row r="536" spans="2:7" x14ac:dyDescent="0.25">
      <c r="B536" s="19">
        <v>41909</v>
      </c>
      <c r="C536" s="20">
        <v>3</v>
      </c>
      <c r="D536" s="18" t="s">
        <v>18</v>
      </c>
      <c r="E536" s="18" t="s">
        <v>19</v>
      </c>
      <c r="F536" s="18" t="s">
        <v>29</v>
      </c>
      <c r="G536" s="21">
        <v>2271.7800000000002</v>
      </c>
    </row>
    <row r="537" spans="2:7" x14ac:dyDescent="0.25">
      <c r="B537" s="19">
        <v>41419</v>
      </c>
      <c r="C537" s="20">
        <v>2</v>
      </c>
      <c r="D537" s="18" t="s">
        <v>31</v>
      </c>
      <c r="E537" s="18" t="s">
        <v>28</v>
      </c>
      <c r="F537" s="18" t="s">
        <v>27</v>
      </c>
      <c r="G537" s="21">
        <v>618.34</v>
      </c>
    </row>
    <row r="538" spans="2:7" x14ac:dyDescent="0.25">
      <c r="B538" s="19">
        <v>41412</v>
      </c>
      <c r="C538" s="20">
        <v>2</v>
      </c>
      <c r="D538" s="18" t="s">
        <v>21</v>
      </c>
      <c r="E538" s="18" t="s">
        <v>19</v>
      </c>
      <c r="F538" s="18" t="s">
        <v>33</v>
      </c>
      <c r="G538" s="21">
        <v>1422.45</v>
      </c>
    </row>
    <row r="539" spans="2:7" x14ac:dyDescent="0.25">
      <c r="B539" s="19">
        <v>41568</v>
      </c>
      <c r="C539" s="20">
        <v>4</v>
      </c>
      <c r="D539" s="18" t="s">
        <v>21</v>
      </c>
      <c r="E539" s="18" t="s">
        <v>19</v>
      </c>
      <c r="F539" s="18" t="s">
        <v>27</v>
      </c>
      <c r="G539" s="21">
        <v>1903.18</v>
      </c>
    </row>
    <row r="540" spans="2:7" x14ac:dyDescent="0.25">
      <c r="B540" s="19">
        <v>41701</v>
      </c>
      <c r="C540" s="20">
        <v>1</v>
      </c>
      <c r="D540" s="18" t="s">
        <v>9</v>
      </c>
      <c r="E540" s="18" t="s">
        <v>26</v>
      </c>
      <c r="F540" s="18" t="s">
        <v>22</v>
      </c>
      <c r="G540" s="21">
        <v>411.94</v>
      </c>
    </row>
    <row r="541" spans="2:7" x14ac:dyDescent="0.25">
      <c r="B541" s="19">
        <v>41535</v>
      </c>
      <c r="C541" s="20">
        <v>3</v>
      </c>
      <c r="D541" s="18" t="s">
        <v>25</v>
      </c>
      <c r="E541" s="18" t="s">
        <v>26</v>
      </c>
      <c r="F541" s="18" t="s">
        <v>24</v>
      </c>
      <c r="G541" s="21">
        <v>146.86000000000001</v>
      </c>
    </row>
    <row r="542" spans="2:7" x14ac:dyDescent="0.25">
      <c r="B542" s="19">
        <v>41471</v>
      </c>
      <c r="C542" s="20">
        <v>3</v>
      </c>
      <c r="D542" s="18" t="s">
        <v>21</v>
      </c>
      <c r="E542" s="18" t="s">
        <v>19</v>
      </c>
      <c r="F542" s="18" t="s">
        <v>29</v>
      </c>
      <c r="G542" s="21">
        <v>2916.52</v>
      </c>
    </row>
    <row r="543" spans="2:7" x14ac:dyDescent="0.25">
      <c r="B543" s="19">
        <v>41354</v>
      </c>
      <c r="C543" s="20">
        <v>1</v>
      </c>
      <c r="D543" s="18" t="s">
        <v>21</v>
      </c>
      <c r="E543" s="18" t="s">
        <v>19</v>
      </c>
      <c r="F543" s="18" t="s">
        <v>22</v>
      </c>
      <c r="G543" s="21">
        <v>647.72</v>
      </c>
    </row>
    <row r="544" spans="2:7" x14ac:dyDescent="0.25">
      <c r="B544" s="19">
        <v>41599</v>
      </c>
      <c r="C544" s="20">
        <v>4</v>
      </c>
      <c r="D544" s="18" t="s">
        <v>31</v>
      </c>
      <c r="E544" s="18" t="s">
        <v>28</v>
      </c>
      <c r="F544" s="18" t="s">
        <v>29</v>
      </c>
      <c r="G544" s="21">
        <v>890.08</v>
      </c>
    </row>
    <row r="545" spans="2:7" x14ac:dyDescent="0.25">
      <c r="B545" s="19">
        <v>41482</v>
      </c>
      <c r="C545" s="20">
        <v>3</v>
      </c>
      <c r="D545" s="18" t="s">
        <v>9</v>
      </c>
      <c r="E545" s="18" t="s">
        <v>26</v>
      </c>
      <c r="F545" s="18" t="s">
        <v>29</v>
      </c>
      <c r="G545" s="21">
        <v>1082.32</v>
      </c>
    </row>
    <row r="546" spans="2:7" x14ac:dyDescent="0.25">
      <c r="B546" s="19">
        <v>41571</v>
      </c>
      <c r="C546" s="20">
        <v>4</v>
      </c>
      <c r="D546" s="18" t="s">
        <v>25</v>
      </c>
      <c r="E546" s="18" t="s">
        <v>26</v>
      </c>
      <c r="F546" s="18" t="s">
        <v>32</v>
      </c>
      <c r="G546" s="21">
        <v>1536.94</v>
      </c>
    </row>
    <row r="547" spans="2:7" x14ac:dyDescent="0.25">
      <c r="B547" s="19">
        <v>41715</v>
      </c>
      <c r="C547" s="20">
        <v>1</v>
      </c>
      <c r="D547" s="18" t="s">
        <v>18</v>
      </c>
      <c r="E547" s="18" t="s">
        <v>19</v>
      </c>
      <c r="F547" s="18" t="s">
        <v>32</v>
      </c>
      <c r="G547" s="21">
        <v>747.3</v>
      </c>
    </row>
    <row r="548" spans="2:7" x14ac:dyDescent="0.25">
      <c r="B548" s="19">
        <v>41917</v>
      </c>
      <c r="C548" s="20">
        <v>4</v>
      </c>
      <c r="D548" s="18" t="s">
        <v>25</v>
      </c>
      <c r="E548" s="18" t="s">
        <v>26</v>
      </c>
      <c r="F548" s="18" t="s">
        <v>27</v>
      </c>
      <c r="G548" s="21">
        <v>641.13</v>
      </c>
    </row>
    <row r="549" spans="2:7" x14ac:dyDescent="0.25">
      <c r="B549" s="19">
        <v>41834</v>
      </c>
      <c r="C549" s="20">
        <v>3</v>
      </c>
      <c r="D549" s="18" t="s">
        <v>11</v>
      </c>
      <c r="E549" s="18" t="s">
        <v>23</v>
      </c>
      <c r="F549" s="18" t="s">
        <v>22</v>
      </c>
      <c r="G549" s="21">
        <v>377.61</v>
      </c>
    </row>
    <row r="550" spans="2:7" x14ac:dyDescent="0.25">
      <c r="B550" s="19">
        <v>41298</v>
      </c>
      <c r="C550" s="20">
        <v>1</v>
      </c>
      <c r="D550" s="18" t="s">
        <v>31</v>
      </c>
      <c r="E550" s="18" t="s">
        <v>28</v>
      </c>
      <c r="F550" s="18" t="s">
        <v>24</v>
      </c>
      <c r="G550" s="21">
        <v>1803.8</v>
      </c>
    </row>
    <row r="551" spans="2:7" x14ac:dyDescent="0.25">
      <c r="B551" s="19">
        <v>41312</v>
      </c>
      <c r="C551" s="20">
        <v>1</v>
      </c>
      <c r="D551" s="18" t="s">
        <v>8</v>
      </c>
      <c r="E551" s="18" t="s">
        <v>23</v>
      </c>
      <c r="F551" s="18" t="s">
        <v>20</v>
      </c>
      <c r="G551" s="21">
        <v>236.39</v>
      </c>
    </row>
    <row r="552" spans="2:7" x14ac:dyDescent="0.25">
      <c r="B552" s="19">
        <v>41968</v>
      </c>
      <c r="C552" s="20">
        <v>4</v>
      </c>
      <c r="D552" s="18" t="s">
        <v>10</v>
      </c>
      <c r="E552" s="18" t="s">
        <v>28</v>
      </c>
      <c r="F552" s="18" t="s">
        <v>29</v>
      </c>
      <c r="G552" s="21">
        <v>2269.14</v>
      </c>
    </row>
    <row r="553" spans="2:7" x14ac:dyDescent="0.25">
      <c r="B553" s="19">
        <v>41927</v>
      </c>
      <c r="C553" s="20">
        <v>4</v>
      </c>
      <c r="D553" s="18" t="s">
        <v>25</v>
      </c>
      <c r="E553" s="18" t="s">
        <v>26</v>
      </c>
      <c r="F553" s="18" t="s">
        <v>20</v>
      </c>
      <c r="G553" s="21">
        <v>447.97</v>
      </c>
    </row>
    <row r="554" spans="2:7" x14ac:dyDescent="0.25">
      <c r="B554" s="19">
        <v>41993</v>
      </c>
      <c r="C554" s="20">
        <v>4</v>
      </c>
      <c r="D554" s="18" t="s">
        <v>31</v>
      </c>
      <c r="E554" s="18" t="s">
        <v>28</v>
      </c>
      <c r="F554" s="18" t="s">
        <v>30</v>
      </c>
      <c r="G554" s="21">
        <v>2740.63</v>
      </c>
    </row>
    <row r="555" spans="2:7" x14ac:dyDescent="0.25">
      <c r="B555" s="19">
        <v>41984</v>
      </c>
      <c r="C555" s="20">
        <v>4</v>
      </c>
      <c r="D555" s="18" t="s">
        <v>10</v>
      </c>
      <c r="E555" s="18" t="s">
        <v>28</v>
      </c>
      <c r="F555" s="18" t="s">
        <v>29</v>
      </c>
      <c r="G555" s="21">
        <v>3006.2</v>
      </c>
    </row>
    <row r="556" spans="2:7" x14ac:dyDescent="0.25">
      <c r="B556" s="19">
        <v>41289</v>
      </c>
      <c r="C556" s="20">
        <v>1</v>
      </c>
      <c r="D556" s="18" t="s">
        <v>10</v>
      </c>
      <c r="E556" s="18" t="s">
        <v>28</v>
      </c>
      <c r="F556" s="18" t="s">
        <v>29</v>
      </c>
      <c r="G556" s="21">
        <v>2136.88</v>
      </c>
    </row>
    <row r="557" spans="2:7" x14ac:dyDescent="0.25">
      <c r="B557" s="19">
        <v>41734</v>
      </c>
      <c r="C557" s="20">
        <v>2</v>
      </c>
      <c r="D557" s="18" t="s">
        <v>18</v>
      </c>
      <c r="E557" s="18" t="s">
        <v>19</v>
      </c>
      <c r="F557" s="18" t="s">
        <v>22</v>
      </c>
      <c r="G557" s="21">
        <v>106.32</v>
      </c>
    </row>
    <row r="558" spans="2:7" x14ac:dyDescent="0.25">
      <c r="B558" s="19">
        <v>41830</v>
      </c>
      <c r="C558" s="20">
        <v>3</v>
      </c>
      <c r="D558" s="18" t="s">
        <v>31</v>
      </c>
      <c r="E558" s="18" t="s">
        <v>28</v>
      </c>
      <c r="F558" s="18" t="s">
        <v>24</v>
      </c>
      <c r="G558" s="21">
        <v>932.7</v>
      </c>
    </row>
    <row r="559" spans="2:7" x14ac:dyDescent="0.25">
      <c r="B559" s="19">
        <v>41418</v>
      </c>
      <c r="C559" s="20">
        <v>2</v>
      </c>
      <c r="D559" s="18" t="s">
        <v>18</v>
      </c>
      <c r="E559" s="18" t="s">
        <v>19</v>
      </c>
      <c r="F559" s="18" t="s">
        <v>30</v>
      </c>
      <c r="G559" s="21">
        <v>2697.94</v>
      </c>
    </row>
    <row r="560" spans="2:7" x14ac:dyDescent="0.25">
      <c r="B560" s="19">
        <v>41915</v>
      </c>
      <c r="C560" s="20">
        <v>4</v>
      </c>
      <c r="D560" s="18" t="s">
        <v>18</v>
      </c>
      <c r="E560" s="18" t="s">
        <v>19</v>
      </c>
      <c r="F560" s="18" t="s">
        <v>22</v>
      </c>
      <c r="G560" s="21">
        <v>205.62</v>
      </c>
    </row>
    <row r="561" spans="2:7" x14ac:dyDescent="0.25">
      <c r="B561" s="19">
        <v>41277</v>
      </c>
      <c r="C561" s="20">
        <v>1</v>
      </c>
      <c r="D561" s="18" t="s">
        <v>21</v>
      </c>
      <c r="E561" s="18" t="s">
        <v>19</v>
      </c>
      <c r="F561" s="18" t="s">
        <v>27</v>
      </c>
      <c r="G561" s="21">
        <v>323.25</v>
      </c>
    </row>
    <row r="562" spans="2:7" x14ac:dyDescent="0.25">
      <c r="B562" s="19">
        <v>41612</v>
      </c>
      <c r="C562" s="20">
        <v>4</v>
      </c>
      <c r="D562" s="18" t="s">
        <v>11</v>
      </c>
      <c r="E562" s="18" t="s">
        <v>23</v>
      </c>
      <c r="F562" s="18" t="s">
        <v>32</v>
      </c>
      <c r="G562" s="21">
        <v>1873.82</v>
      </c>
    </row>
    <row r="563" spans="2:7" x14ac:dyDescent="0.25">
      <c r="B563" s="19">
        <v>41423</v>
      </c>
      <c r="C563" s="20">
        <v>2</v>
      </c>
      <c r="D563" s="18" t="s">
        <v>9</v>
      </c>
      <c r="E563" s="18" t="s">
        <v>26</v>
      </c>
      <c r="F563" s="18" t="s">
        <v>22</v>
      </c>
      <c r="G563" s="21">
        <v>1955.71</v>
      </c>
    </row>
    <row r="564" spans="2:7" x14ac:dyDescent="0.25">
      <c r="B564" s="19">
        <v>41988</v>
      </c>
      <c r="C564" s="20">
        <v>4</v>
      </c>
      <c r="D564" s="18" t="s">
        <v>31</v>
      </c>
      <c r="E564" s="18" t="s">
        <v>28</v>
      </c>
      <c r="F564" s="18" t="s">
        <v>29</v>
      </c>
      <c r="G564" s="21">
        <v>3528.44</v>
      </c>
    </row>
    <row r="565" spans="2:7" x14ac:dyDescent="0.25">
      <c r="B565" s="19">
        <v>41506</v>
      </c>
      <c r="C565" s="20">
        <v>3</v>
      </c>
      <c r="D565" s="18" t="s">
        <v>21</v>
      </c>
      <c r="E565" s="18" t="s">
        <v>19</v>
      </c>
      <c r="F565" s="18" t="s">
        <v>30</v>
      </c>
      <c r="G565" s="21">
        <v>631.83000000000004</v>
      </c>
    </row>
    <row r="566" spans="2:7" x14ac:dyDescent="0.25">
      <c r="B566" s="19">
        <v>41930</v>
      </c>
      <c r="C566" s="20">
        <v>4</v>
      </c>
      <c r="D566" s="18" t="s">
        <v>31</v>
      </c>
      <c r="E566" s="18" t="s">
        <v>28</v>
      </c>
      <c r="F566" s="18" t="s">
        <v>27</v>
      </c>
      <c r="G566" s="21">
        <v>1932.41</v>
      </c>
    </row>
    <row r="567" spans="2:7" x14ac:dyDescent="0.25">
      <c r="B567" s="19">
        <v>41836</v>
      </c>
      <c r="C567" s="20">
        <v>3</v>
      </c>
      <c r="D567" s="18" t="s">
        <v>18</v>
      </c>
      <c r="E567" s="18" t="s">
        <v>19</v>
      </c>
      <c r="F567" s="18" t="s">
        <v>30</v>
      </c>
      <c r="G567" s="21">
        <v>1047</v>
      </c>
    </row>
    <row r="568" spans="2:7" x14ac:dyDescent="0.25">
      <c r="B568" s="19">
        <v>41765</v>
      </c>
      <c r="C568" s="20">
        <v>2</v>
      </c>
      <c r="D568" s="18" t="s">
        <v>10</v>
      </c>
      <c r="E568" s="18" t="s">
        <v>28</v>
      </c>
      <c r="F568" s="18" t="s">
        <v>24</v>
      </c>
      <c r="G568" s="21">
        <v>1205.3599999999999</v>
      </c>
    </row>
    <row r="569" spans="2:7" x14ac:dyDescent="0.25">
      <c r="B569" s="19">
        <v>41433</v>
      </c>
      <c r="C569" s="20">
        <v>2</v>
      </c>
      <c r="D569" s="18" t="s">
        <v>25</v>
      </c>
      <c r="E569" s="18" t="s">
        <v>26</v>
      </c>
      <c r="F569" s="18" t="s">
        <v>24</v>
      </c>
      <c r="G569" s="21">
        <v>203.54</v>
      </c>
    </row>
    <row r="570" spans="2:7" x14ac:dyDescent="0.25">
      <c r="B570" s="19">
        <v>41953</v>
      </c>
      <c r="C570" s="20">
        <v>4</v>
      </c>
      <c r="D570" s="18" t="s">
        <v>11</v>
      </c>
      <c r="E570" s="18" t="s">
        <v>23</v>
      </c>
      <c r="F570" s="18" t="s">
        <v>22</v>
      </c>
      <c r="G570" s="21">
        <v>1491.84</v>
      </c>
    </row>
    <row r="571" spans="2:7" x14ac:dyDescent="0.25">
      <c r="B571" s="19">
        <v>41630</v>
      </c>
      <c r="C571" s="20">
        <v>4</v>
      </c>
      <c r="D571" s="18" t="s">
        <v>10</v>
      </c>
      <c r="E571" s="18" t="s">
        <v>28</v>
      </c>
      <c r="F571" s="18" t="s">
        <v>29</v>
      </c>
      <c r="G571" s="21">
        <v>3885.96</v>
      </c>
    </row>
    <row r="572" spans="2:7" x14ac:dyDescent="0.25">
      <c r="B572" s="19">
        <v>41551</v>
      </c>
      <c r="C572" s="20">
        <v>4</v>
      </c>
      <c r="D572" s="18" t="s">
        <v>8</v>
      </c>
      <c r="E572" s="18" t="s">
        <v>23</v>
      </c>
      <c r="F572" s="18" t="s">
        <v>20</v>
      </c>
      <c r="G572" s="21">
        <v>654.94000000000005</v>
      </c>
    </row>
    <row r="573" spans="2:7" x14ac:dyDescent="0.25">
      <c r="B573" s="19">
        <v>41896</v>
      </c>
      <c r="C573" s="20">
        <v>3</v>
      </c>
      <c r="D573" s="18" t="s">
        <v>18</v>
      </c>
      <c r="E573" s="18" t="s">
        <v>19</v>
      </c>
      <c r="F573" s="18" t="s">
        <v>27</v>
      </c>
      <c r="G573" s="21">
        <v>131.82</v>
      </c>
    </row>
    <row r="574" spans="2:7" x14ac:dyDescent="0.25">
      <c r="B574" s="19">
        <v>41329</v>
      </c>
      <c r="C574" s="20">
        <v>1</v>
      </c>
      <c r="D574" s="18" t="s">
        <v>31</v>
      </c>
      <c r="E574" s="18" t="s">
        <v>28</v>
      </c>
      <c r="F574" s="18" t="s">
        <v>33</v>
      </c>
      <c r="G574" s="21">
        <v>1497.39</v>
      </c>
    </row>
    <row r="575" spans="2:7" x14ac:dyDescent="0.25">
      <c r="B575" s="19">
        <v>41466</v>
      </c>
      <c r="C575" s="20">
        <v>3</v>
      </c>
      <c r="D575" s="18" t="s">
        <v>10</v>
      </c>
      <c r="E575" s="18" t="s">
        <v>28</v>
      </c>
      <c r="F575" s="18" t="s">
        <v>27</v>
      </c>
      <c r="G575" s="21">
        <v>1213.98</v>
      </c>
    </row>
    <row r="576" spans="2:7" x14ac:dyDescent="0.25">
      <c r="B576" s="19">
        <v>41626</v>
      </c>
      <c r="C576" s="20">
        <v>4</v>
      </c>
      <c r="D576" s="18" t="s">
        <v>10</v>
      </c>
      <c r="E576" s="18" t="s">
        <v>28</v>
      </c>
      <c r="F576" s="18" t="s">
        <v>22</v>
      </c>
      <c r="G576" s="21">
        <v>343.29</v>
      </c>
    </row>
    <row r="577" spans="2:7" x14ac:dyDescent="0.25">
      <c r="B577" s="19">
        <v>41739</v>
      </c>
      <c r="C577" s="20">
        <v>2</v>
      </c>
      <c r="D577" s="18" t="s">
        <v>21</v>
      </c>
      <c r="E577" s="18" t="s">
        <v>19</v>
      </c>
      <c r="F577" s="18" t="s">
        <v>20</v>
      </c>
      <c r="G577" s="21">
        <v>572.65</v>
      </c>
    </row>
    <row r="578" spans="2:7" x14ac:dyDescent="0.25">
      <c r="B578" s="19">
        <v>41922</v>
      </c>
      <c r="C578" s="20">
        <v>4</v>
      </c>
      <c r="D578" s="18" t="s">
        <v>11</v>
      </c>
      <c r="E578" s="18" t="s">
        <v>23</v>
      </c>
      <c r="F578" s="18" t="s">
        <v>20</v>
      </c>
      <c r="G578" s="21">
        <v>481.34</v>
      </c>
    </row>
    <row r="579" spans="2:7" x14ac:dyDescent="0.25">
      <c r="B579" s="19">
        <v>41895</v>
      </c>
      <c r="C579" s="20">
        <v>3</v>
      </c>
      <c r="D579" s="18" t="s">
        <v>8</v>
      </c>
      <c r="E579" s="18" t="s">
        <v>23</v>
      </c>
      <c r="F579" s="18" t="s">
        <v>22</v>
      </c>
      <c r="G579" s="21">
        <v>699.74</v>
      </c>
    </row>
    <row r="580" spans="2:7" x14ac:dyDescent="0.25">
      <c r="B580" s="19">
        <v>41715</v>
      </c>
      <c r="C580" s="20">
        <v>1</v>
      </c>
      <c r="D580" s="18" t="s">
        <v>8</v>
      </c>
      <c r="E580" s="18" t="s">
        <v>23</v>
      </c>
      <c r="F580" s="18" t="s">
        <v>24</v>
      </c>
      <c r="G580" s="21">
        <v>1020.24</v>
      </c>
    </row>
    <row r="581" spans="2:7" x14ac:dyDescent="0.25">
      <c r="B581" s="19">
        <v>41632</v>
      </c>
      <c r="C581" s="20">
        <v>4</v>
      </c>
      <c r="D581" s="18" t="s">
        <v>9</v>
      </c>
      <c r="E581" s="18" t="s">
        <v>26</v>
      </c>
      <c r="F581" s="18" t="s">
        <v>32</v>
      </c>
      <c r="G581" s="21">
        <v>1502.67</v>
      </c>
    </row>
    <row r="582" spans="2:7" x14ac:dyDescent="0.25">
      <c r="B582" s="19">
        <v>41761</v>
      </c>
      <c r="C582" s="20">
        <v>2</v>
      </c>
      <c r="D582" s="18" t="s">
        <v>25</v>
      </c>
      <c r="E582" s="18" t="s">
        <v>26</v>
      </c>
      <c r="F582" s="18" t="s">
        <v>27</v>
      </c>
      <c r="G582" s="21">
        <v>514.98</v>
      </c>
    </row>
    <row r="583" spans="2:7" x14ac:dyDescent="0.25">
      <c r="B583" s="19">
        <v>41670</v>
      </c>
      <c r="C583" s="20">
        <v>1</v>
      </c>
      <c r="D583" s="18" t="s">
        <v>11</v>
      </c>
      <c r="E583" s="18" t="s">
        <v>23</v>
      </c>
      <c r="F583" s="18" t="s">
        <v>30</v>
      </c>
      <c r="G583" s="21">
        <v>1873.81</v>
      </c>
    </row>
    <row r="584" spans="2:7" x14ac:dyDescent="0.25">
      <c r="B584" s="19">
        <v>41770</v>
      </c>
      <c r="C584" s="20">
        <v>2</v>
      </c>
      <c r="D584" s="18" t="s">
        <v>8</v>
      </c>
      <c r="E584" s="18" t="s">
        <v>23</v>
      </c>
      <c r="F584" s="18" t="s">
        <v>29</v>
      </c>
      <c r="G584" s="21">
        <v>3970.44</v>
      </c>
    </row>
    <row r="585" spans="2:7" x14ac:dyDescent="0.25">
      <c r="B585" s="19">
        <v>41910</v>
      </c>
      <c r="C585" s="20">
        <v>3</v>
      </c>
      <c r="D585" s="18" t="s">
        <v>21</v>
      </c>
      <c r="E585" s="18" t="s">
        <v>19</v>
      </c>
      <c r="F585" s="18" t="s">
        <v>20</v>
      </c>
      <c r="G585" s="21">
        <v>641.79999999999995</v>
      </c>
    </row>
    <row r="586" spans="2:7" x14ac:dyDescent="0.25">
      <c r="B586" s="19">
        <v>41667</v>
      </c>
      <c r="C586" s="20">
        <v>1</v>
      </c>
      <c r="D586" s="18" t="s">
        <v>11</v>
      </c>
      <c r="E586" s="18" t="s">
        <v>23</v>
      </c>
      <c r="F586" s="18" t="s">
        <v>30</v>
      </c>
      <c r="G586" s="21">
        <v>850.7</v>
      </c>
    </row>
    <row r="587" spans="2:7" x14ac:dyDescent="0.25">
      <c r="B587" s="19">
        <v>41868</v>
      </c>
      <c r="C587" s="20">
        <v>3</v>
      </c>
      <c r="D587" s="18" t="s">
        <v>21</v>
      </c>
      <c r="E587" s="18" t="s">
        <v>19</v>
      </c>
      <c r="F587" s="18" t="s">
        <v>27</v>
      </c>
      <c r="G587" s="21">
        <v>1738.09</v>
      </c>
    </row>
    <row r="588" spans="2:7" x14ac:dyDescent="0.25">
      <c r="B588" s="19">
        <v>41876</v>
      </c>
      <c r="C588" s="20">
        <v>3</v>
      </c>
      <c r="D588" s="18" t="s">
        <v>8</v>
      </c>
      <c r="E588" s="18" t="s">
        <v>23</v>
      </c>
      <c r="F588" s="18" t="s">
        <v>30</v>
      </c>
      <c r="G588" s="21">
        <v>2612.98</v>
      </c>
    </row>
    <row r="589" spans="2:7" x14ac:dyDescent="0.25">
      <c r="B589" s="19">
        <v>41877</v>
      </c>
      <c r="C589" s="20">
        <v>3</v>
      </c>
      <c r="D589" s="18" t="s">
        <v>8</v>
      </c>
      <c r="E589" s="18" t="s">
        <v>23</v>
      </c>
      <c r="F589" s="18" t="s">
        <v>27</v>
      </c>
      <c r="G589" s="21">
        <v>176.72</v>
      </c>
    </row>
    <row r="590" spans="2:7" x14ac:dyDescent="0.25">
      <c r="B590" s="19">
        <v>41983</v>
      </c>
      <c r="C590" s="20">
        <v>4</v>
      </c>
      <c r="D590" s="18" t="s">
        <v>10</v>
      </c>
      <c r="E590" s="18" t="s">
        <v>28</v>
      </c>
      <c r="F590" s="18" t="s">
        <v>29</v>
      </c>
      <c r="G590" s="21">
        <v>1157.8599999999999</v>
      </c>
    </row>
    <row r="591" spans="2:7" x14ac:dyDescent="0.25">
      <c r="B591" s="19">
        <v>41433</v>
      </c>
      <c r="C591" s="20">
        <v>2</v>
      </c>
      <c r="D591" s="18" t="s">
        <v>25</v>
      </c>
      <c r="E591" s="18" t="s">
        <v>26</v>
      </c>
      <c r="F591" s="18" t="s">
        <v>30</v>
      </c>
      <c r="G591" s="21">
        <v>1609.45</v>
      </c>
    </row>
    <row r="592" spans="2:7" x14ac:dyDescent="0.25">
      <c r="B592" s="19">
        <v>41645</v>
      </c>
      <c r="C592" s="20">
        <v>1</v>
      </c>
      <c r="D592" s="18" t="s">
        <v>8</v>
      </c>
      <c r="E592" s="18" t="s">
        <v>23</v>
      </c>
      <c r="F592" s="18" t="s">
        <v>32</v>
      </c>
      <c r="G592" s="21">
        <v>1344.73</v>
      </c>
    </row>
    <row r="593" spans="2:7" x14ac:dyDescent="0.25">
      <c r="B593" s="19">
        <v>41450</v>
      </c>
      <c r="C593" s="20">
        <v>2</v>
      </c>
      <c r="D593" s="18" t="s">
        <v>10</v>
      </c>
      <c r="E593" s="18" t="s">
        <v>28</v>
      </c>
      <c r="F593" s="18" t="s">
        <v>24</v>
      </c>
      <c r="G593" s="21">
        <v>780.11</v>
      </c>
    </row>
    <row r="594" spans="2:7" x14ac:dyDescent="0.25">
      <c r="B594" s="19">
        <v>41481</v>
      </c>
      <c r="C594" s="20">
        <v>3</v>
      </c>
      <c r="D594" s="18" t="s">
        <v>18</v>
      </c>
      <c r="E594" s="18" t="s">
        <v>19</v>
      </c>
      <c r="F594" s="18" t="s">
        <v>22</v>
      </c>
      <c r="G594" s="21">
        <v>155.11000000000001</v>
      </c>
    </row>
    <row r="595" spans="2:7" x14ac:dyDescent="0.25">
      <c r="B595" s="19">
        <v>41989</v>
      </c>
      <c r="C595" s="20">
        <v>4</v>
      </c>
      <c r="D595" s="18" t="s">
        <v>21</v>
      </c>
      <c r="E595" s="18" t="s">
        <v>19</v>
      </c>
      <c r="F595" s="18" t="s">
        <v>22</v>
      </c>
      <c r="G595" s="21">
        <v>625.34</v>
      </c>
    </row>
    <row r="596" spans="2:7" x14ac:dyDescent="0.25">
      <c r="B596" s="19">
        <v>41306</v>
      </c>
      <c r="C596" s="20">
        <v>1</v>
      </c>
      <c r="D596" s="18" t="s">
        <v>8</v>
      </c>
      <c r="E596" s="18" t="s">
        <v>23</v>
      </c>
      <c r="F596" s="18" t="s">
        <v>24</v>
      </c>
      <c r="G596" s="21">
        <v>1406.4</v>
      </c>
    </row>
    <row r="597" spans="2:7" x14ac:dyDescent="0.25">
      <c r="B597" s="19">
        <v>41702</v>
      </c>
      <c r="C597" s="20">
        <v>1</v>
      </c>
      <c r="D597" s="18" t="s">
        <v>10</v>
      </c>
      <c r="E597" s="18" t="s">
        <v>28</v>
      </c>
      <c r="F597" s="18" t="s">
        <v>29</v>
      </c>
      <c r="G597" s="21">
        <v>1885.7</v>
      </c>
    </row>
    <row r="598" spans="2:7" x14ac:dyDescent="0.25">
      <c r="B598" s="19">
        <v>41482</v>
      </c>
      <c r="C598" s="20">
        <v>3</v>
      </c>
      <c r="D598" s="18" t="s">
        <v>9</v>
      </c>
      <c r="E598" s="18" t="s">
        <v>26</v>
      </c>
      <c r="F598" s="18" t="s">
        <v>24</v>
      </c>
      <c r="G598" s="21">
        <v>743.69</v>
      </c>
    </row>
    <row r="599" spans="2:7" x14ac:dyDescent="0.25">
      <c r="B599" s="19">
        <v>41727</v>
      </c>
      <c r="C599" s="20">
        <v>1</v>
      </c>
      <c r="D599" s="18" t="s">
        <v>18</v>
      </c>
      <c r="E599" s="18" t="s">
        <v>19</v>
      </c>
      <c r="F599" s="18" t="s">
        <v>29</v>
      </c>
      <c r="G599" s="21">
        <v>3948.18</v>
      </c>
    </row>
    <row r="600" spans="2:7" x14ac:dyDescent="0.25">
      <c r="B600" s="19">
        <v>41569</v>
      </c>
      <c r="C600" s="20">
        <v>4</v>
      </c>
      <c r="D600" s="18" t="s">
        <v>11</v>
      </c>
      <c r="E600" s="18" t="s">
        <v>23</v>
      </c>
      <c r="F600" s="18" t="s">
        <v>29</v>
      </c>
      <c r="G600" s="21">
        <v>2795.44</v>
      </c>
    </row>
    <row r="601" spans="2:7" x14ac:dyDescent="0.25">
      <c r="B601" s="19">
        <v>41388</v>
      </c>
      <c r="C601" s="20">
        <v>2</v>
      </c>
      <c r="D601" s="18" t="s">
        <v>8</v>
      </c>
      <c r="E601" s="18" t="s">
        <v>23</v>
      </c>
      <c r="F601" s="18" t="s">
        <v>32</v>
      </c>
      <c r="G601" s="21">
        <v>1619.32</v>
      </c>
    </row>
    <row r="602" spans="2:7" x14ac:dyDescent="0.25">
      <c r="B602" s="19">
        <v>41529</v>
      </c>
      <c r="C602" s="20">
        <v>3</v>
      </c>
      <c r="D602" s="18" t="s">
        <v>10</v>
      </c>
      <c r="E602" s="18" t="s">
        <v>28</v>
      </c>
      <c r="F602" s="18" t="s">
        <v>32</v>
      </c>
      <c r="G602" s="21">
        <v>510.13</v>
      </c>
    </row>
    <row r="603" spans="2:7" x14ac:dyDescent="0.25">
      <c r="B603" s="19">
        <v>41935</v>
      </c>
      <c r="C603" s="20">
        <v>4</v>
      </c>
      <c r="D603" s="18" t="s">
        <v>9</v>
      </c>
      <c r="E603" s="18" t="s">
        <v>26</v>
      </c>
      <c r="F603" s="18" t="s">
        <v>32</v>
      </c>
      <c r="G603" s="21">
        <v>1382.99</v>
      </c>
    </row>
    <row r="604" spans="2:7" x14ac:dyDescent="0.25">
      <c r="B604" s="19">
        <v>41617</v>
      </c>
      <c r="C604" s="20">
        <v>4</v>
      </c>
      <c r="D604" s="18" t="s">
        <v>11</v>
      </c>
      <c r="E604" s="18" t="s">
        <v>23</v>
      </c>
      <c r="F604" s="18" t="s">
        <v>30</v>
      </c>
      <c r="G604" s="21">
        <v>2423.66</v>
      </c>
    </row>
    <row r="605" spans="2:7" x14ac:dyDescent="0.25">
      <c r="B605" s="19">
        <v>41296</v>
      </c>
      <c r="C605" s="20">
        <v>1</v>
      </c>
      <c r="D605" s="18" t="s">
        <v>31</v>
      </c>
      <c r="E605" s="18" t="s">
        <v>28</v>
      </c>
      <c r="F605" s="18" t="s">
        <v>22</v>
      </c>
      <c r="G605" s="21">
        <v>1000.49</v>
      </c>
    </row>
  </sheetData>
  <pageMargins left="0.7" right="0.7" top="0.78740157499999996" bottom="0.78740157499999996" header="0.3" footer="0.3"/>
  <pageSetup paperSize="9" orientation="portrait" horizontalDpi="4294967295" verticalDpi="4294967295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9"/>
  </sheetPr>
  <dimension ref="A1:D1548"/>
  <sheetViews>
    <sheetView showGridLines="0" zoomScaleNormal="100" workbookViewId="0">
      <selection activeCell="B2" sqref="B2"/>
    </sheetView>
  </sheetViews>
  <sheetFormatPr baseColWidth="10" defaultRowHeight="15" x14ac:dyDescent="0.25"/>
  <cols>
    <col min="1" max="1" width="8.5703125" style="17" customWidth="1"/>
    <col min="2" max="2" width="22.42578125" style="17" customWidth="1"/>
    <col min="3" max="3" width="18.140625" style="17" customWidth="1"/>
    <col min="4" max="4" width="5.7109375" style="17" customWidth="1"/>
    <col min="5" max="5" width="13.85546875" style="17" customWidth="1"/>
    <col min="6" max="6" width="30.7109375" style="17" customWidth="1"/>
    <col min="7" max="7" width="11.42578125" style="17"/>
    <col min="8" max="8" width="20.140625" style="17" customWidth="1"/>
    <col min="9" max="9" width="12.7109375" style="17" customWidth="1"/>
    <col min="10" max="16384" width="11.42578125" style="17"/>
  </cols>
  <sheetData>
    <row r="1" spans="1:4" ht="45" customHeight="1" x14ac:dyDescent="0.7">
      <c r="A1" s="4"/>
      <c r="B1" s="14" t="s">
        <v>36</v>
      </c>
    </row>
    <row r="2" spans="1:4" x14ac:dyDescent="0.25">
      <c r="B2" s="17" t="s">
        <v>86</v>
      </c>
    </row>
    <row r="5" spans="1:4" x14ac:dyDescent="0.25">
      <c r="B5" s="22" t="s">
        <v>37</v>
      </c>
      <c r="C5" t="s">
        <v>39</v>
      </c>
      <c r="D5"/>
    </row>
    <row r="6" spans="1:4" x14ac:dyDescent="0.25">
      <c r="B6" s="24" t="s">
        <v>40</v>
      </c>
      <c r="C6" s="23">
        <v>417516.88</v>
      </c>
      <c r="D6"/>
    </row>
    <row r="7" spans="1:4" x14ac:dyDescent="0.25">
      <c r="B7" s="18" t="s">
        <v>28</v>
      </c>
      <c r="C7" s="23">
        <v>123740.46999999996</v>
      </c>
      <c r="D7"/>
    </row>
    <row r="8" spans="1:4" x14ac:dyDescent="0.25">
      <c r="B8" s="18" t="s">
        <v>26</v>
      </c>
      <c r="C8" s="23">
        <v>94795.02</v>
      </c>
      <c r="D8"/>
    </row>
    <row r="9" spans="1:4" x14ac:dyDescent="0.25">
      <c r="B9" s="18" t="s">
        <v>23</v>
      </c>
      <c r="C9" s="23">
        <v>99274.109999999986</v>
      </c>
      <c r="D9"/>
    </row>
    <row r="10" spans="1:4" x14ac:dyDescent="0.25">
      <c r="B10" s="18" t="s">
        <v>19</v>
      </c>
      <c r="C10" s="23">
        <v>99707.280000000042</v>
      </c>
      <c r="D10"/>
    </row>
    <row r="11" spans="1:4" x14ac:dyDescent="0.25">
      <c r="B11" s="24" t="s">
        <v>41</v>
      </c>
      <c r="C11" s="23">
        <v>353343.66000000003</v>
      </c>
      <c r="D11"/>
    </row>
    <row r="12" spans="1:4" x14ac:dyDescent="0.25">
      <c r="B12" s="18" t="s">
        <v>28</v>
      </c>
      <c r="C12" s="23">
        <v>112744.05</v>
      </c>
      <c r="D12"/>
    </row>
    <row r="13" spans="1:4" x14ac:dyDescent="0.25">
      <c r="B13" s="18" t="s">
        <v>26</v>
      </c>
      <c r="C13" s="23">
        <v>69278.640000000029</v>
      </c>
      <c r="D13"/>
    </row>
    <row r="14" spans="1:4" x14ac:dyDescent="0.25">
      <c r="B14" s="18" t="s">
        <v>23</v>
      </c>
      <c r="C14" s="23">
        <v>77141.179999999978</v>
      </c>
      <c r="D14"/>
    </row>
    <row r="15" spans="1:4" x14ac:dyDescent="0.25">
      <c r="B15" s="18" t="s">
        <v>19</v>
      </c>
      <c r="C15" s="23">
        <v>94179.790000000008</v>
      </c>
      <c r="D15"/>
    </row>
    <row r="16" spans="1:4" x14ac:dyDescent="0.25">
      <c r="B16" s="24" t="s">
        <v>38</v>
      </c>
      <c r="C16" s="23">
        <v>770860.54</v>
      </c>
      <c r="D16"/>
    </row>
    <row r="17" spans="2:4" x14ac:dyDescent="0.25">
      <c r="B17"/>
      <c r="C17"/>
      <c r="D17"/>
    </row>
    <row r="18" spans="2:4" x14ac:dyDescent="0.25">
      <c r="B18"/>
      <c r="C18"/>
      <c r="D18"/>
    </row>
    <row r="19" spans="2:4" x14ac:dyDescent="0.25">
      <c r="B19"/>
      <c r="C19"/>
      <c r="D19"/>
    </row>
    <row r="20" spans="2:4" x14ac:dyDescent="0.25">
      <c r="B20"/>
      <c r="C20"/>
      <c r="D20"/>
    </row>
    <row r="21" spans="2:4" x14ac:dyDescent="0.25">
      <c r="B21"/>
      <c r="C21"/>
      <c r="D21"/>
    </row>
    <row r="22" spans="2:4" x14ac:dyDescent="0.25">
      <c r="B22"/>
      <c r="C22"/>
      <c r="D22"/>
    </row>
    <row r="23" spans="2:4" x14ac:dyDescent="0.25">
      <c r="B23"/>
      <c r="C23"/>
    </row>
    <row r="24" spans="2:4" x14ac:dyDescent="0.25">
      <c r="B24"/>
      <c r="C24"/>
    </row>
    <row r="25" spans="2:4" x14ac:dyDescent="0.25">
      <c r="B25"/>
      <c r="C25"/>
    </row>
    <row r="26" spans="2:4" x14ac:dyDescent="0.25">
      <c r="B26"/>
      <c r="C26"/>
    </row>
    <row r="27" spans="2:4" x14ac:dyDescent="0.25">
      <c r="B27"/>
      <c r="C27"/>
    </row>
    <row r="28" spans="2:4" x14ac:dyDescent="0.25">
      <c r="B28"/>
      <c r="C28"/>
    </row>
    <row r="29" spans="2:4" x14ac:dyDescent="0.25">
      <c r="B29"/>
      <c r="C29"/>
    </row>
    <row r="30" spans="2:4" x14ac:dyDescent="0.25">
      <c r="B30"/>
      <c r="C30"/>
    </row>
    <row r="31" spans="2:4" x14ac:dyDescent="0.25">
      <c r="B31"/>
      <c r="C31"/>
    </row>
    <row r="32" spans="2:4" x14ac:dyDescent="0.25">
      <c r="B32"/>
      <c r="C32"/>
    </row>
    <row r="33" spans="2:3" x14ac:dyDescent="0.25">
      <c r="B33"/>
      <c r="C33"/>
    </row>
    <row r="34" spans="2:3" x14ac:dyDescent="0.25">
      <c r="B34"/>
      <c r="C34"/>
    </row>
    <row r="35" spans="2:3" x14ac:dyDescent="0.25">
      <c r="B35"/>
      <c r="C35"/>
    </row>
    <row r="36" spans="2:3" x14ac:dyDescent="0.25">
      <c r="B36"/>
      <c r="C36"/>
    </row>
    <row r="37" spans="2:3" x14ac:dyDescent="0.25">
      <c r="B37"/>
      <c r="C37"/>
    </row>
    <row r="38" spans="2:3" x14ac:dyDescent="0.25">
      <c r="B38"/>
      <c r="C38"/>
    </row>
    <row r="39" spans="2:3" x14ac:dyDescent="0.25">
      <c r="B39"/>
      <c r="C39"/>
    </row>
    <row r="40" spans="2:3" x14ac:dyDescent="0.25">
      <c r="B40"/>
      <c r="C40"/>
    </row>
    <row r="41" spans="2:3" x14ac:dyDescent="0.25">
      <c r="B41"/>
      <c r="C41"/>
    </row>
    <row r="42" spans="2:3" x14ac:dyDescent="0.25">
      <c r="B42"/>
      <c r="C42"/>
    </row>
    <row r="43" spans="2:3" x14ac:dyDescent="0.25">
      <c r="B43"/>
      <c r="C43"/>
    </row>
    <row r="44" spans="2:3" x14ac:dyDescent="0.25">
      <c r="B44"/>
      <c r="C44"/>
    </row>
    <row r="45" spans="2:3" x14ac:dyDescent="0.25">
      <c r="B45"/>
      <c r="C45"/>
    </row>
    <row r="46" spans="2:3" x14ac:dyDescent="0.25">
      <c r="B46"/>
      <c r="C46"/>
    </row>
    <row r="47" spans="2:3" x14ac:dyDescent="0.25">
      <c r="B47"/>
      <c r="C47"/>
    </row>
    <row r="48" spans="2:3" x14ac:dyDescent="0.25">
      <c r="B48"/>
      <c r="C48"/>
    </row>
    <row r="49" spans="2:3" x14ac:dyDescent="0.25">
      <c r="B49"/>
      <c r="C49"/>
    </row>
    <row r="50" spans="2:3" x14ac:dyDescent="0.25">
      <c r="B50"/>
      <c r="C50"/>
    </row>
    <row r="51" spans="2:3" x14ac:dyDescent="0.25">
      <c r="B51"/>
      <c r="C51"/>
    </row>
    <row r="52" spans="2:3" x14ac:dyDescent="0.25">
      <c r="B52"/>
      <c r="C52"/>
    </row>
    <row r="53" spans="2:3" x14ac:dyDescent="0.25">
      <c r="B53"/>
      <c r="C53"/>
    </row>
    <row r="54" spans="2:3" x14ac:dyDescent="0.25">
      <c r="B54"/>
      <c r="C54"/>
    </row>
    <row r="55" spans="2:3" x14ac:dyDescent="0.25">
      <c r="B55"/>
      <c r="C55"/>
    </row>
    <row r="56" spans="2:3" x14ac:dyDescent="0.25">
      <c r="B56"/>
      <c r="C56"/>
    </row>
    <row r="57" spans="2:3" x14ac:dyDescent="0.25">
      <c r="B57"/>
      <c r="C57"/>
    </row>
    <row r="58" spans="2:3" x14ac:dyDescent="0.25">
      <c r="B58"/>
      <c r="C58"/>
    </row>
    <row r="59" spans="2:3" x14ac:dyDescent="0.25">
      <c r="B59"/>
      <c r="C59"/>
    </row>
    <row r="60" spans="2:3" x14ac:dyDescent="0.25">
      <c r="B60"/>
      <c r="C60"/>
    </row>
    <row r="61" spans="2:3" x14ac:dyDescent="0.25">
      <c r="B61"/>
      <c r="C61"/>
    </row>
    <row r="62" spans="2:3" x14ac:dyDescent="0.25">
      <c r="B62"/>
      <c r="C62"/>
    </row>
    <row r="63" spans="2:3" x14ac:dyDescent="0.25">
      <c r="B63"/>
      <c r="C63"/>
    </row>
    <row r="64" spans="2:3" x14ac:dyDescent="0.25">
      <c r="B64"/>
      <c r="C64"/>
    </row>
    <row r="65" spans="2:3" x14ac:dyDescent="0.25">
      <c r="B65"/>
      <c r="C65"/>
    </row>
    <row r="66" spans="2:3" x14ac:dyDescent="0.25">
      <c r="B66"/>
      <c r="C66"/>
    </row>
    <row r="67" spans="2:3" x14ac:dyDescent="0.25">
      <c r="B67"/>
      <c r="C67"/>
    </row>
    <row r="68" spans="2:3" x14ac:dyDescent="0.25">
      <c r="B68"/>
      <c r="C68"/>
    </row>
    <row r="69" spans="2:3" x14ac:dyDescent="0.25">
      <c r="B69"/>
      <c r="C69"/>
    </row>
    <row r="70" spans="2:3" x14ac:dyDescent="0.25">
      <c r="B70"/>
      <c r="C70"/>
    </row>
    <row r="71" spans="2:3" x14ac:dyDescent="0.25">
      <c r="B71"/>
      <c r="C71"/>
    </row>
    <row r="72" spans="2:3" x14ac:dyDescent="0.25">
      <c r="B72"/>
      <c r="C72"/>
    </row>
    <row r="73" spans="2:3" x14ac:dyDescent="0.25">
      <c r="B73"/>
      <c r="C73"/>
    </row>
    <row r="74" spans="2:3" x14ac:dyDescent="0.25">
      <c r="B74"/>
      <c r="C74"/>
    </row>
    <row r="75" spans="2:3" x14ac:dyDescent="0.25">
      <c r="B75"/>
      <c r="C75"/>
    </row>
    <row r="76" spans="2:3" x14ac:dyDescent="0.25">
      <c r="B76"/>
      <c r="C76"/>
    </row>
    <row r="77" spans="2:3" x14ac:dyDescent="0.25">
      <c r="B77"/>
      <c r="C77"/>
    </row>
    <row r="78" spans="2:3" x14ac:dyDescent="0.25">
      <c r="B78"/>
      <c r="C78"/>
    </row>
    <row r="79" spans="2:3" x14ac:dyDescent="0.25">
      <c r="B79"/>
      <c r="C79"/>
    </row>
    <row r="80" spans="2:3" x14ac:dyDescent="0.25">
      <c r="B80"/>
      <c r="C80"/>
    </row>
    <row r="81" spans="2:3" x14ac:dyDescent="0.25">
      <c r="B81"/>
      <c r="C81"/>
    </row>
    <row r="82" spans="2:3" x14ac:dyDescent="0.25">
      <c r="B82"/>
      <c r="C82"/>
    </row>
    <row r="83" spans="2:3" x14ac:dyDescent="0.25">
      <c r="B83"/>
      <c r="C83"/>
    </row>
    <row r="84" spans="2:3" x14ac:dyDescent="0.25">
      <c r="B84"/>
      <c r="C84"/>
    </row>
    <row r="85" spans="2:3" x14ac:dyDescent="0.25">
      <c r="B85"/>
      <c r="C85"/>
    </row>
    <row r="86" spans="2:3" x14ac:dyDescent="0.25">
      <c r="B86"/>
      <c r="C86"/>
    </row>
    <row r="87" spans="2:3" x14ac:dyDescent="0.25">
      <c r="B87"/>
      <c r="C87"/>
    </row>
    <row r="88" spans="2:3" x14ac:dyDescent="0.25">
      <c r="B88"/>
      <c r="C88"/>
    </row>
    <row r="89" spans="2:3" x14ac:dyDescent="0.25">
      <c r="B89"/>
      <c r="C89"/>
    </row>
    <row r="90" spans="2:3" x14ac:dyDescent="0.25">
      <c r="B90"/>
      <c r="C90"/>
    </row>
    <row r="91" spans="2:3" x14ac:dyDescent="0.25">
      <c r="B91"/>
      <c r="C91"/>
    </row>
    <row r="92" spans="2:3" x14ac:dyDescent="0.25">
      <c r="B92"/>
      <c r="C92"/>
    </row>
    <row r="93" spans="2:3" x14ac:dyDescent="0.25">
      <c r="B93"/>
      <c r="C93"/>
    </row>
    <row r="94" spans="2:3" x14ac:dyDescent="0.25">
      <c r="B94"/>
      <c r="C94"/>
    </row>
    <row r="95" spans="2:3" x14ac:dyDescent="0.25">
      <c r="B95"/>
      <c r="C95"/>
    </row>
    <row r="96" spans="2:3" x14ac:dyDescent="0.25">
      <c r="B96"/>
      <c r="C96"/>
    </row>
    <row r="97" spans="2:3" x14ac:dyDescent="0.25">
      <c r="B97"/>
      <c r="C97"/>
    </row>
    <row r="98" spans="2:3" x14ac:dyDescent="0.25">
      <c r="B98"/>
      <c r="C98"/>
    </row>
    <row r="99" spans="2:3" x14ac:dyDescent="0.25">
      <c r="B99"/>
      <c r="C99"/>
    </row>
    <row r="100" spans="2:3" x14ac:dyDescent="0.25">
      <c r="B100"/>
      <c r="C100"/>
    </row>
    <row r="101" spans="2:3" x14ac:dyDescent="0.25">
      <c r="B101"/>
      <c r="C101"/>
    </row>
    <row r="102" spans="2:3" x14ac:dyDescent="0.25">
      <c r="B102"/>
      <c r="C102"/>
    </row>
    <row r="103" spans="2:3" x14ac:dyDescent="0.25">
      <c r="B103"/>
      <c r="C103"/>
    </row>
    <row r="104" spans="2:3" x14ac:dyDescent="0.25">
      <c r="B104"/>
      <c r="C104"/>
    </row>
    <row r="105" spans="2:3" x14ac:dyDescent="0.25">
      <c r="B105"/>
      <c r="C105"/>
    </row>
    <row r="106" spans="2:3" x14ac:dyDescent="0.25">
      <c r="B106"/>
      <c r="C106"/>
    </row>
    <row r="107" spans="2:3" x14ac:dyDescent="0.25">
      <c r="B107"/>
      <c r="C107"/>
    </row>
    <row r="108" spans="2:3" x14ac:dyDescent="0.25">
      <c r="B108"/>
      <c r="C108"/>
    </row>
    <row r="109" spans="2:3" x14ac:dyDescent="0.25">
      <c r="B109"/>
      <c r="C109"/>
    </row>
    <row r="110" spans="2:3" x14ac:dyDescent="0.25">
      <c r="B110"/>
      <c r="C110"/>
    </row>
    <row r="111" spans="2:3" x14ac:dyDescent="0.25">
      <c r="B111"/>
      <c r="C111"/>
    </row>
    <row r="112" spans="2:3" x14ac:dyDescent="0.25">
      <c r="B112"/>
      <c r="C112"/>
    </row>
    <row r="113" spans="2:3" x14ac:dyDescent="0.25">
      <c r="B113"/>
      <c r="C113"/>
    </row>
    <row r="114" spans="2:3" x14ac:dyDescent="0.25">
      <c r="B114"/>
      <c r="C114"/>
    </row>
    <row r="115" spans="2:3" x14ac:dyDescent="0.25">
      <c r="B115"/>
      <c r="C115"/>
    </row>
    <row r="116" spans="2:3" x14ac:dyDescent="0.25">
      <c r="B116"/>
      <c r="C116"/>
    </row>
    <row r="117" spans="2:3" x14ac:dyDescent="0.25">
      <c r="B117"/>
      <c r="C117"/>
    </row>
    <row r="118" spans="2:3" x14ac:dyDescent="0.25">
      <c r="B118"/>
      <c r="C118"/>
    </row>
    <row r="119" spans="2:3" x14ac:dyDescent="0.25">
      <c r="B119"/>
      <c r="C119"/>
    </row>
    <row r="120" spans="2:3" x14ac:dyDescent="0.25">
      <c r="B120"/>
      <c r="C120"/>
    </row>
    <row r="121" spans="2:3" x14ac:dyDescent="0.25">
      <c r="B121"/>
      <c r="C121"/>
    </row>
    <row r="122" spans="2:3" x14ac:dyDescent="0.25">
      <c r="B122"/>
      <c r="C122"/>
    </row>
    <row r="123" spans="2:3" x14ac:dyDescent="0.25">
      <c r="B123"/>
      <c r="C123"/>
    </row>
    <row r="124" spans="2:3" x14ac:dyDescent="0.25">
      <c r="B124"/>
      <c r="C124"/>
    </row>
    <row r="125" spans="2:3" x14ac:dyDescent="0.25">
      <c r="B125"/>
      <c r="C125"/>
    </row>
    <row r="126" spans="2:3" x14ac:dyDescent="0.25">
      <c r="B126"/>
      <c r="C126"/>
    </row>
    <row r="127" spans="2:3" x14ac:dyDescent="0.25">
      <c r="B127"/>
      <c r="C127"/>
    </row>
    <row r="128" spans="2:3" x14ac:dyDescent="0.25">
      <c r="B128"/>
      <c r="C128"/>
    </row>
    <row r="129" spans="2:3" x14ac:dyDescent="0.25">
      <c r="B129"/>
      <c r="C129"/>
    </row>
    <row r="130" spans="2:3" x14ac:dyDescent="0.25">
      <c r="B130"/>
      <c r="C130"/>
    </row>
    <row r="131" spans="2:3" x14ac:dyDescent="0.25">
      <c r="B131"/>
      <c r="C131"/>
    </row>
    <row r="132" spans="2:3" x14ac:dyDescent="0.25">
      <c r="B132"/>
      <c r="C132"/>
    </row>
    <row r="133" spans="2:3" x14ac:dyDescent="0.25">
      <c r="B133"/>
      <c r="C133"/>
    </row>
    <row r="134" spans="2:3" x14ac:dyDescent="0.25">
      <c r="B134"/>
      <c r="C134"/>
    </row>
    <row r="135" spans="2:3" x14ac:dyDescent="0.25">
      <c r="B135"/>
      <c r="C135"/>
    </row>
    <row r="136" spans="2:3" x14ac:dyDescent="0.25">
      <c r="B136"/>
      <c r="C136"/>
    </row>
    <row r="137" spans="2:3" x14ac:dyDescent="0.25">
      <c r="B137"/>
      <c r="C137"/>
    </row>
    <row r="138" spans="2:3" x14ac:dyDescent="0.25">
      <c r="B138"/>
      <c r="C138"/>
    </row>
    <row r="139" spans="2:3" x14ac:dyDescent="0.25">
      <c r="B139"/>
      <c r="C139"/>
    </row>
    <row r="140" spans="2:3" x14ac:dyDescent="0.25">
      <c r="B140"/>
      <c r="C140"/>
    </row>
    <row r="141" spans="2:3" x14ac:dyDescent="0.25">
      <c r="B141"/>
      <c r="C141"/>
    </row>
    <row r="142" spans="2:3" x14ac:dyDescent="0.25">
      <c r="B142"/>
      <c r="C142"/>
    </row>
    <row r="143" spans="2:3" x14ac:dyDescent="0.25">
      <c r="B143"/>
      <c r="C143"/>
    </row>
    <row r="144" spans="2:3" x14ac:dyDescent="0.25">
      <c r="B144"/>
      <c r="C144"/>
    </row>
    <row r="145" spans="2:3" x14ac:dyDescent="0.25">
      <c r="B145"/>
      <c r="C145"/>
    </row>
    <row r="146" spans="2:3" x14ac:dyDescent="0.25">
      <c r="B146"/>
      <c r="C146"/>
    </row>
    <row r="147" spans="2:3" x14ac:dyDescent="0.25">
      <c r="B147"/>
      <c r="C147"/>
    </row>
    <row r="148" spans="2:3" x14ac:dyDescent="0.25">
      <c r="B148"/>
      <c r="C148"/>
    </row>
    <row r="149" spans="2:3" x14ac:dyDescent="0.25">
      <c r="B149"/>
      <c r="C149"/>
    </row>
    <row r="150" spans="2:3" x14ac:dyDescent="0.25">
      <c r="B150"/>
      <c r="C150"/>
    </row>
    <row r="151" spans="2:3" x14ac:dyDescent="0.25">
      <c r="B151"/>
      <c r="C151"/>
    </row>
    <row r="152" spans="2:3" x14ac:dyDescent="0.25">
      <c r="B152"/>
      <c r="C152"/>
    </row>
    <row r="153" spans="2:3" x14ac:dyDescent="0.25">
      <c r="B153"/>
      <c r="C153"/>
    </row>
    <row r="154" spans="2:3" x14ac:dyDescent="0.25">
      <c r="B154"/>
      <c r="C154"/>
    </row>
    <row r="155" spans="2:3" x14ac:dyDescent="0.25">
      <c r="B155"/>
      <c r="C155"/>
    </row>
    <row r="156" spans="2:3" x14ac:dyDescent="0.25">
      <c r="B156"/>
      <c r="C156"/>
    </row>
    <row r="157" spans="2:3" x14ac:dyDescent="0.25">
      <c r="B157"/>
      <c r="C157"/>
    </row>
    <row r="158" spans="2:3" x14ac:dyDescent="0.25">
      <c r="B158"/>
      <c r="C158"/>
    </row>
    <row r="159" spans="2:3" x14ac:dyDescent="0.25">
      <c r="B159"/>
      <c r="C159"/>
    </row>
    <row r="160" spans="2:3" x14ac:dyDescent="0.25">
      <c r="B160"/>
      <c r="C160"/>
    </row>
    <row r="161" spans="2:3" x14ac:dyDescent="0.25">
      <c r="B161"/>
      <c r="C161"/>
    </row>
    <row r="162" spans="2:3" x14ac:dyDescent="0.25">
      <c r="B162"/>
      <c r="C162"/>
    </row>
    <row r="163" spans="2:3" x14ac:dyDescent="0.25">
      <c r="B163"/>
      <c r="C163"/>
    </row>
    <row r="164" spans="2:3" x14ac:dyDescent="0.25">
      <c r="B164"/>
      <c r="C164"/>
    </row>
    <row r="165" spans="2:3" x14ac:dyDescent="0.25">
      <c r="B165"/>
      <c r="C165"/>
    </row>
    <row r="166" spans="2:3" x14ac:dyDescent="0.25">
      <c r="B166"/>
      <c r="C166"/>
    </row>
    <row r="167" spans="2:3" x14ac:dyDescent="0.25">
      <c r="B167"/>
      <c r="C167"/>
    </row>
    <row r="168" spans="2:3" x14ac:dyDescent="0.25">
      <c r="B168"/>
      <c r="C168"/>
    </row>
    <row r="169" spans="2:3" x14ac:dyDescent="0.25">
      <c r="B169"/>
      <c r="C169"/>
    </row>
    <row r="170" spans="2:3" x14ac:dyDescent="0.25">
      <c r="B170"/>
      <c r="C170"/>
    </row>
    <row r="171" spans="2:3" x14ac:dyDescent="0.25">
      <c r="B171"/>
      <c r="C171"/>
    </row>
    <row r="172" spans="2:3" x14ac:dyDescent="0.25">
      <c r="B172"/>
      <c r="C172"/>
    </row>
    <row r="173" spans="2:3" x14ac:dyDescent="0.25">
      <c r="B173"/>
      <c r="C173"/>
    </row>
    <row r="174" spans="2:3" x14ac:dyDescent="0.25">
      <c r="B174"/>
      <c r="C174"/>
    </row>
    <row r="175" spans="2:3" x14ac:dyDescent="0.25">
      <c r="B175"/>
      <c r="C175"/>
    </row>
    <row r="176" spans="2:3" x14ac:dyDescent="0.25">
      <c r="B176"/>
      <c r="C176"/>
    </row>
    <row r="177" spans="2:3" x14ac:dyDescent="0.25">
      <c r="B177"/>
      <c r="C177"/>
    </row>
    <row r="178" spans="2:3" x14ac:dyDescent="0.25">
      <c r="B178"/>
      <c r="C178"/>
    </row>
    <row r="179" spans="2:3" x14ac:dyDescent="0.25">
      <c r="B179"/>
      <c r="C179"/>
    </row>
    <row r="180" spans="2:3" x14ac:dyDescent="0.25">
      <c r="B180"/>
      <c r="C180"/>
    </row>
    <row r="181" spans="2:3" x14ac:dyDescent="0.25">
      <c r="B181"/>
      <c r="C181"/>
    </row>
    <row r="182" spans="2:3" x14ac:dyDescent="0.25">
      <c r="B182"/>
      <c r="C182"/>
    </row>
    <row r="183" spans="2:3" x14ac:dyDescent="0.25">
      <c r="B183"/>
      <c r="C183"/>
    </row>
    <row r="184" spans="2:3" x14ac:dyDescent="0.25">
      <c r="B184"/>
      <c r="C184"/>
    </row>
    <row r="185" spans="2:3" x14ac:dyDescent="0.25">
      <c r="B185"/>
      <c r="C185"/>
    </row>
    <row r="186" spans="2:3" x14ac:dyDescent="0.25">
      <c r="B186"/>
      <c r="C186"/>
    </row>
    <row r="187" spans="2:3" x14ac:dyDescent="0.25">
      <c r="B187"/>
      <c r="C187"/>
    </row>
    <row r="188" spans="2:3" x14ac:dyDescent="0.25">
      <c r="B188"/>
      <c r="C188"/>
    </row>
    <row r="189" spans="2:3" x14ac:dyDescent="0.25">
      <c r="B189"/>
      <c r="C189"/>
    </row>
    <row r="190" spans="2:3" x14ac:dyDescent="0.25">
      <c r="B190"/>
      <c r="C190"/>
    </row>
    <row r="191" spans="2:3" x14ac:dyDescent="0.25">
      <c r="B191"/>
      <c r="C191"/>
    </row>
    <row r="192" spans="2:3" x14ac:dyDescent="0.25">
      <c r="B192"/>
      <c r="C192"/>
    </row>
    <row r="193" spans="2:3" x14ac:dyDescent="0.25">
      <c r="B193"/>
      <c r="C193"/>
    </row>
    <row r="194" spans="2:3" x14ac:dyDescent="0.25">
      <c r="B194"/>
      <c r="C194"/>
    </row>
    <row r="195" spans="2:3" x14ac:dyDescent="0.25">
      <c r="B195"/>
      <c r="C195"/>
    </row>
    <row r="196" spans="2:3" x14ac:dyDescent="0.25">
      <c r="B196"/>
      <c r="C196"/>
    </row>
    <row r="197" spans="2:3" x14ac:dyDescent="0.25">
      <c r="B197"/>
      <c r="C197"/>
    </row>
    <row r="198" spans="2:3" x14ac:dyDescent="0.25">
      <c r="B198"/>
      <c r="C198"/>
    </row>
    <row r="199" spans="2:3" x14ac:dyDescent="0.25">
      <c r="B199"/>
      <c r="C199"/>
    </row>
    <row r="200" spans="2:3" x14ac:dyDescent="0.25">
      <c r="B200"/>
      <c r="C200"/>
    </row>
    <row r="201" spans="2:3" x14ac:dyDescent="0.25">
      <c r="B201"/>
      <c r="C201"/>
    </row>
    <row r="202" spans="2:3" x14ac:dyDescent="0.25">
      <c r="B202"/>
      <c r="C202"/>
    </row>
    <row r="203" spans="2:3" x14ac:dyDescent="0.25">
      <c r="B203"/>
      <c r="C203"/>
    </row>
    <row r="204" spans="2:3" x14ac:dyDescent="0.25">
      <c r="B204"/>
      <c r="C204"/>
    </row>
    <row r="205" spans="2:3" x14ac:dyDescent="0.25">
      <c r="B205"/>
      <c r="C205"/>
    </row>
    <row r="206" spans="2:3" x14ac:dyDescent="0.25">
      <c r="B206"/>
      <c r="C206"/>
    </row>
    <row r="207" spans="2:3" x14ac:dyDescent="0.25">
      <c r="B207"/>
      <c r="C207"/>
    </row>
    <row r="208" spans="2:3" x14ac:dyDescent="0.25">
      <c r="B208"/>
      <c r="C208"/>
    </row>
    <row r="209" spans="2:3" x14ac:dyDescent="0.25">
      <c r="B209"/>
      <c r="C209"/>
    </row>
    <row r="210" spans="2:3" x14ac:dyDescent="0.25">
      <c r="B210"/>
      <c r="C210"/>
    </row>
    <row r="211" spans="2:3" x14ac:dyDescent="0.25">
      <c r="B211"/>
      <c r="C211"/>
    </row>
    <row r="212" spans="2:3" x14ac:dyDescent="0.25">
      <c r="B212"/>
      <c r="C212"/>
    </row>
    <row r="213" spans="2:3" x14ac:dyDescent="0.25">
      <c r="B213"/>
      <c r="C213"/>
    </row>
    <row r="214" spans="2:3" x14ac:dyDescent="0.25">
      <c r="B214"/>
      <c r="C214"/>
    </row>
    <row r="215" spans="2:3" x14ac:dyDescent="0.25">
      <c r="B215"/>
      <c r="C215"/>
    </row>
    <row r="216" spans="2:3" x14ac:dyDescent="0.25">
      <c r="B216"/>
      <c r="C216"/>
    </row>
    <row r="217" spans="2:3" x14ac:dyDescent="0.25">
      <c r="B217"/>
      <c r="C217"/>
    </row>
    <row r="218" spans="2:3" x14ac:dyDescent="0.25">
      <c r="B218"/>
      <c r="C218"/>
    </row>
    <row r="219" spans="2:3" x14ac:dyDescent="0.25">
      <c r="B219"/>
      <c r="C219"/>
    </row>
    <row r="220" spans="2:3" x14ac:dyDescent="0.25">
      <c r="B220"/>
      <c r="C220"/>
    </row>
    <row r="221" spans="2:3" x14ac:dyDescent="0.25">
      <c r="B221"/>
      <c r="C221"/>
    </row>
    <row r="222" spans="2:3" x14ac:dyDescent="0.25">
      <c r="B222"/>
      <c r="C222"/>
    </row>
    <row r="223" spans="2:3" x14ac:dyDescent="0.25">
      <c r="B223"/>
      <c r="C223"/>
    </row>
    <row r="224" spans="2:3" x14ac:dyDescent="0.25">
      <c r="B224"/>
      <c r="C224"/>
    </row>
    <row r="225" spans="2:3" x14ac:dyDescent="0.25">
      <c r="B225"/>
      <c r="C225"/>
    </row>
    <row r="226" spans="2:3" x14ac:dyDescent="0.25">
      <c r="B226"/>
      <c r="C226"/>
    </row>
    <row r="227" spans="2:3" x14ac:dyDescent="0.25">
      <c r="B227"/>
      <c r="C227"/>
    </row>
    <row r="228" spans="2:3" x14ac:dyDescent="0.25">
      <c r="B228"/>
      <c r="C228"/>
    </row>
    <row r="229" spans="2:3" x14ac:dyDescent="0.25">
      <c r="B229"/>
      <c r="C229"/>
    </row>
    <row r="230" spans="2:3" x14ac:dyDescent="0.25">
      <c r="B230"/>
      <c r="C230"/>
    </row>
    <row r="231" spans="2:3" x14ac:dyDescent="0.25">
      <c r="B231"/>
      <c r="C231"/>
    </row>
    <row r="232" spans="2:3" x14ac:dyDescent="0.25">
      <c r="B232"/>
      <c r="C232"/>
    </row>
    <row r="233" spans="2:3" x14ac:dyDescent="0.25">
      <c r="B233"/>
      <c r="C233"/>
    </row>
    <row r="234" spans="2:3" x14ac:dyDescent="0.25">
      <c r="B234"/>
      <c r="C234"/>
    </row>
    <row r="235" spans="2:3" x14ac:dyDescent="0.25">
      <c r="B235"/>
      <c r="C235"/>
    </row>
    <row r="236" spans="2:3" x14ac:dyDescent="0.25">
      <c r="B236"/>
      <c r="C236"/>
    </row>
    <row r="237" spans="2:3" x14ac:dyDescent="0.25">
      <c r="B237"/>
      <c r="C237"/>
    </row>
    <row r="238" spans="2:3" x14ac:dyDescent="0.25">
      <c r="B238"/>
      <c r="C238"/>
    </row>
    <row r="239" spans="2:3" x14ac:dyDescent="0.25">
      <c r="B239"/>
      <c r="C239"/>
    </row>
    <row r="240" spans="2:3" x14ac:dyDescent="0.25">
      <c r="B240"/>
      <c r="C240"/>
    </row>
    <row r="241" spans="2:3" x14ac:dyDescent="0.25">
      <c r="B241"/>
      <c r="C241"/>
    </row>
    <row r="242" spans="2:3" x14ac:dyDescent="0.25">
      <c r="B242"/>
      <c r="C242"/>
    </row>
    <row r="243" spans="2:3" x14ac:dyDescent="0.25">
      <c r="B243"/>
      <c r="C243"/>
    </row>
    <row r="244" spans="2:3" x14ac:dyDescent="0.25">
      <c r="B244"/>
      <c r="C244"/>
    </row>
    <row r="245" spans="2:3" x14ac:dyDescent="0.25">
      <c r="B245"/>
      <c r="C245"/>
    </row>
    <row r="246" spans="2:3" x14ac:dyDescent="0.25">
      <c r="B246"/>
      <c r="C246"/>
    </row>
    <row r="247" spans="2:3" x14ac:dyDescent="0.25">
      <c r="B247"/>
      <c r="C247"/>
    </row>
    <row r="248" spans="2:3" x14ac:dyDescent="0.25">
      <c r="B248"/>
      <c r="C248"/>
    </row>
    <row r="249" spans="2:3" x14ac:dyDescent="0.25">
      <c r="B249"/>
      <c r="C249"/>
    </row>
    <row r="250" spans="2:3" x14ac:dyDescent="0.25">
      <c r="B250"/>
      <c r="C250"/>
    </row>
    <row r="251" spans="2:3" x14ac:dyDescent="0.25">
      <c r="B251"/>
      <c r="C251"/>
    </row>
    <row r="252" spans="2:3" x14ac:dyDescent="0.25">
      <c r="B252"/>
      <c r="C252"/>
    </row>
    <row r="253" spans="2:3" x14ac:dyDescent="0.25">
      <c r="B253"/>
      <c r="C253"/>
    </row>
    <row r="254" spans="2:3" x14ac:dyDescent="0.25">
      <c r="B254"/>
      <c r="C254"/>
    </row>
    <row r="255" spans="2:3" x14ac:dyDescent="0.25">
      <c r="B255"/>
      <c r="C255"/>
    </row>
    <row r="256" spans="2:3" x14ac:dyDescent="0.25">
      <c r="B256"/>
      <c r="C256"/>
    </row>
    <row r="257" spans="2:3" x14ac:dyDescent="0.25">
      <c r="B257"/>
      <c r="C257"/>
    </row>
    <row r="258" spans="2:3" x14ac:dyDescent="0.25">
      <c r="B258"/>
      <c r="C258"/>
    </row>
    <row r="259" spans="2:3" x14ac:dyDescent="0.25">
      <c r="B259"/>
      <c r="C259"/>
    </row>
    <row r="260" spans="2:3" x14ac:dyDescent="0.25">
      <c r="B260"/>
      <c r="C260"/>
    </row>
    <row r="261" spans="2:3" x14ac:dyDescent="0.25">
      <c r="B261"/>
      <c r="C261"/>
    </row>
    <row r="262" spans="2:3" x14ac:dyDescent="0.25">
      <c r="B262"/>
      <c r="C262"/>
    </row>
    <row r="263" spans="2:3" x14ac:dyDescent="0.25">
      <c r="B263"/>
      <c r="C263"/>
    </row>
    <row r="264" spans="2:3" x14ac:dyDescent="0.25">
      <c r="B264"/>
      <c r="C264"/>
    </row>
    <row r="265" spans="2:3" x14ac:dyDescent="0.25">
      <c r="B265"/>
      <c r="C265"/>
    </row>
    <row r="266" spans="2:3" x14ac:dyDescent="0.25">
      <c r="B266"/>
      <c r="C266"/>
    </row>
    <row r="267" spans="2:3" x14ac:dyDescent="0.25">
      <c r="B267"/>
      <c r="C267"/>
    </row>
    <row r="268" spans="2:3" x14ac:dyDescent="0.25">
      <c r="B268"/>
      <c r="C268"/>
    </row>
    <row r="269" spans="2:3" x14ac:dyDescent="0.25">
      <c r="B269"/>
      <c r="C269"/>
    </row>
    <row r="270" spans="2:3" x14ac:dyDescent="0.25">
      <c r="B270"/>
      <c r="C270"/>
    </row>
    <row r="271" spans="2:3" x14ac:dyDescent="0.25">
      <c r="B271"/>
      <c r="C271"/>
    </row>
    <row r="272" spans="2:3" x14ac:dyDescent="0.25">
      <c r="B272"/>
      <c r="C272"/>
    </row>
    <row r="273" spans="2:3" x14ac:dyDescent="0.25">
      <c r="B273"/>
      <c r="C273"/>
    </row>
    <row r="274" spans="2:3" x14ac:dyDescent="0.25">
      <c r="B274"/>
      <c r="C274"/>
    </row>
    <row r="275" spans="2:3" x14ac:dyDescent="0.25">
      <c r="B275"/>
      <c r="C275"/>
    </row>
    <row r="276" spans="2:3" x14ac:dyDescent="0.25">
      <c r="B276"/>
      <c r="C276"/>
    </row>
    <row r="277" spans="2:3" x14ac:dyDescent="0.25">
      <c r="B277"/>
      <c r="C277"/>
    </row>
    <row r="278" spans="2:3" x14ac:dyDescent="0.25">
      <c r="B278"/>
      <c r="C278"/>
    </row>
    <row r="279" spans="2:3" x14ac:dyDescent="0.25">
      <c r="B279"/>
      <c r="C279"/>
    </row>
    <row r="280" spans="2:3" x14ac:dyDescent="0.25">
      <c r="B280"/>
      <c r="C280"/>
    </row>
    <row r="281" spans="2:3" x14ac:dyDescent="0.25">
      <c r="B281"/>
      <c r="C281"/>
    </row>
    <row r="282" spans="2:3" x14ac:dyDescent="0.25">
      <c r="B282"/>
      <c r="C282"/>
    </row>
    <row r="283" spans="2:3" x14ac:dyDescent="0.25">
      <c r="B283"/>
      <c r="C283"/>
    </row>
    <row r="284" spans="2:3" x14ac:dyDescent="0.25">
      <c r="B284"/>
      <c r="C284"/>
    </row>
    <row r="285" spans="2:3" x14ac:dyDescent="0.25">
      <c r="B285"/>
      <c r="C285"/>
    </row>
    <row r="286" spans="2:3" x14ac:dyDescent="0.25">
      <c r="B286"/>
      <c r="C286"/>
    </row>
    <row r="287" spans="2:3" x14ac:dyDescent="0.25">
      <c r="B287"/>
      <c r="C287"/>
    </row>
    <row r="288" spans="2:3" x14ac:dyDescent="0.25">
      <c r="B288"/>
      <c r="C288"/>
    </row>
    <row r="289" spans="2:3" x14ac:dyDescent="0.25">
      <c r="B289"/>
      <c r="C289"/>
    </row>
    <row r="290" spans="2:3" x14ac:dyDescent="0.25">
      <c r="B290"/>
      <c r="C290"/>
    </row>
    <row r="291" spans="2:3" x14ac:dyDescent="0.25">
      <c r="B291"/>
      <c r="C291"/>
    </row>
    <row r="292" spans="2:3" x14ac:dyDescent="0.25">
      <c r="B292"/>
      <c r="C292"/>
    </row>
    <row r="293" spans="2:3" x14ac:dyDescent="0.25">
      <c r="B293"/>
      <c r="C293"/>
    </row>
    <row r="294" spans="2:3" x14ac:dyDescent="0.25">
      <c r="B294"/>
      <c r="C294"/>
    </row>
    <row r="295" spans="2:3" x14ac:dyDescent="0.25">
      <c r="B295"/>
      <c r="C295"/>
    </row>
    <row r="296" spans="2:3" x14ac:dyDescent="0.25">
      <c r="B296"/>
      <c r="C296"/>
    </row>
    <row r="297" spans="2:3" x14ac:dyDescent="0.25">
      <c r="B297"/>
      <c r="C297"/>
    </row>
    <row r="298" spans="2:3" x14ac:dyDescent="0.25">
      <c r="B298"/>
      <c r="C298"/>
    </row>
    <row r="299" spans="2:3" x14ac:dyDescent="0.25">
      <c r="B299"/>
      <c r="C299"/>
    </row>
    <row r="300" spans="2:3" x14ac:dyDescent="0.25">
      <c r="B300"/>
      <c r="C300"/>
    </row>
    <row r="301" spans="2:3" x14ac:dyDescent="0.25">
      <c r="B301"/>
      <c r="C301"/>
    </row>
    <row r="302" spans="2:3" x14ac:dyDescent="0.25">
      <c r="B302"/>
      <c r="C302"/>
    </row>
    <row r="303" spans="2:3" x14ac:dyDescent="0.25">
      <c r="B303"/>
      <c r="C303"/>
    </row>
    <row r="304" spans="2:3" x14ac:dyDescent="0.25">
      <c r="B304"/>
      <c r="C304"/>
    </row>
    <row r="305" spans="2:3" x14ac:dyDescent="0.25">
      <c r="B305"/>
      <c r="C305"/>
    </row>
    <row r="306" spans="2:3" x14ac:dyDescent="0.25">
      <c r="B306"/>
      <c r="C306"/>
    </row>
    <row r="307" spans="2:3" x14ac:dyDescent="0.25">
      <c r="B307"/>
      <c r="C307"/>
    </row>
    <row r="308" spans="2:3" x14ac:dyDescent="0.25">
      <c r="B308"/>
      <c r="C308"/>
    </row>
    <row r="309" spans="2:3" x14ac:dyDescent="0.25">
      <c r="B309"/>
      <c r="C309"/>
    </row>
    <row r="310" spans="2:3" x14ac:dyDescent="0.25">
      <c r="B310"/>
      <c r="C310"/>
    </row>
    <row r="311" spans="2:3" x14ac:dyDescent="0.25">
      <c r="B311"/>
      <c r="C311"/>
    </row>
    <row r="312" spans="2:3" x14ac:dyDescent="0.25">
      <c r="B312"/>
      <c r="C312"/>
    </row>
    <row r="313" spans="2:3" x14ac:dyDescent="0.25">
      <c r="B313"/>
      <c r="C313"/>
    </row>
    <row r="314" spans="2:3" x14ac:dyDescent="0.25">
      <c r="B314"/>
      <c r="C314"/>
    </row>
    <row r="315" spans="2:3" x14ac:dyDescent="0.25">
      <c r="B315"/>
      <c r="C315"/>
    </row>
    <row r="316" spans="2:3" x14ac:dyDescent="0.25">
      <c r="B316"/>
      <c r="C316"/>
    </row>
    <row r="317" spans="2:3" x14ac:dyDescent="0.25">
      <c r="B317"/>
      <c r="C317"/>
    </row>
    <row r="318" spans="2:3" x14ac:dyDescent="0.25">
      <c r="B318"/>
      <c r="C318"/>
    </row>
    <row r="319" spans="2:3" x14ac:dyDescent="0.25">
      <c r="B319"/>
      <c r="C319"/>
    </row>
    <row r="320" spans="2:3" x14ac:dyDescent="0.25">
      <c r="B320"/>
      <c r="C320"/>
    </row>
    <row r="321" spans="2:3" x14ac:dyDescent="0.25">
      <c r="B321"/>
      <c r="C321"/>
    </row>
    <row r="322" spans="2:3" x14ac:dyDescent="0.25">
      <c r="B322"/>
      <c r="C322"/>
    </row>
    <row r="323" spans="2:3" x14ac:dyDescent="0.25">
      <c r="B323"/>
      <c r="C323"/>
    </row>
    <row r="324" spans="2:3" x14ac:dyDescent="0.25">
      <c r="B324"/>
      <c r="C324"/>
    </row>
    <row r="325" spans="2:3" x14ac:dyDescent="0.25">
      <c r="B325"/>
      <c r="C325"/>
    </row>
    <row r="326" spans="2:3" x14ac:dyDescent="0.25">
      <c r="B326"/>
      <c r="C326"/>
    </row>
    <row r="327" spans="2:3" x14ac:dyDescent="0.25">
      <c r="B327"/>
      <c r="C327"/>
    </row>
    <row r="328" spans="2:3" x14ac:dyDescent="0.25">
      <c r="B328"/>
      <c r="C328"/>
    </row>
    <row r="329" spans="2:3" x14ac:dyDescent="0.25">
      <c r="B329"/>
      <c r="C329"/>
    </row>
    <row r="330" spans="2:3" x14ac:dyDescent="0.25">
      <c r="B330"/>
      <c r="C330"/>
    </row>
    <row r="331" spans="2:3" x14ac:dyDescent="0.25">
      <c r="B331"/>
      <c r="C331"/>
    </row>
    <row r="332" spans="2:3" x14ac:dyDescent="0.25">
      <c r="B332"/>
      <c r="C332"/>
    </row>
    <row r="333" spans="2:3" x14ac:dyDescent="0.25">
      <c r="B333"/>
      <c r="C333"/>
    </row>
    <row r="334" spans="2:3" x14ac:dyDescent="0.25">
      <c r="B334"/>
      <c r="C334"/>
    </row>
    <row r="335" spans="2:3" x14ac:dyDescent="0.25">
      <c r="B335"/>
      <c r="C335"/>
    </row>
    <row r="336" spans="2:3" x14ac:dyDescent="0.25">
      <c r="B336"/>
      <c r="C336"/>
    </row>
    <row r="337" spans="2:3" x14ac:dyDescent="0.25">
      <c r="B337"/>
      <c r="C337"/>
    </row>
    <row r="338" spans="2:3" x14ac:dyDescent="0.25">
      <c r="B338"/>
      <c r="C338"/>
    </row>
    <row r="339" spans="2:3" x14ac:dyDescent="0.25">
      <c r="B339"/>
      <c r="C339"/>
    </row>
    <row r="340" spans="2:3" x14ac:dyDescent="0.25">
      <c r="B340"/>
      <c r="C340"/>
    </row>
    <row r="341" spans="2:3" x14ac:dyDescent="0.25">
      <c r="B341"/>
      <c r="C341"/>
    </row>
    <row r="342" spans="2:3" x14ac:dyDescent="0.25">
      <c r="B342"/>
      <c r="C342"/>
    </row>
    <row r="343" spans="2:3" x14ac:dyDescent="0.25">
      <c r="B343"/>
      <c r="C343"/>
    </row>
    <row r="344" spans="2:3" x14ac:dyDescent="0.25">
      <c r="B344"/>
      <c r="C344"/>
    </row>
    <row r="345" spans="2:3" x14ac:dyDescent="0.25">
      <c r="B345"/>
      <c r="C345"/>
    </row>
    <row r="346" spans="2:3" x14ac:dyDescent="0.25">
      <c r="B346"/>
      <c r="C346"/>
    </row>
    <row r="347" spans="2:3" x14ac:dyDescent="0.25">
      <c r="B347"/>
      <c r="C347"/>
    </row>
    <row r="348" spans="2:3" x14ac:dyDescent="0.25">
      <c r="B348"/>
      <c r="C348"/>
    </row>
    <row r="349" spans="2:3" x14ac:dyDescent="0.25">
      <c r="B349"/>
      <c r="C349"/>
    </row>
    <row r="350" spans="2:3" x14ac:dyDescent="0.25">
      <c r="B350"/>
      <c r="C350"/>
    </row>
    <row r="351" spans="2:3" x14ac:dyDescent="0.25">
      <c r="B351"/>
      <c r="C351"/>
    </row>
    <row r="352" spans="2:3" x14ac:dyDescent="0.25">
      <c r="B352"/>
      <c r="C352"/>
    </row>
    <row r="353" spans="2:3" x14ac:dyDescent="0.25">
      <c r="B353"/>
      <c r="C353"/>
    </row>
    <row r="354" spans="2:3" x14ac:dyDescent="0.25">
      <c r="B354"/>
      <c r="C354"/>
    </row>
    <row r="355" spans="2:3" x14ac:dyDescent="0.25">
      <c r="B355"/>
      <c r="C355"/>
    </row>
    <row r="356" spans="2:3" x14ac:dyDescent="0.25">
      <c r="B356"/>
      <c r="C356"/>
    </row>
    <row r="357" spans="2:3" x14ac:dyDescent="0.25">
      <c r="B357"/>
      <c r="C357"/>
    </row>
    <row r="358" spans="2:3" x14ac:dyDescent="0.25">
      <c r="B358"/>
      <c r="C358"/>
    </row>
    <row r="359" spans="2:3" x14ac:dyDescent="0.25">
      <c r="B359"/>
      <c r="C359"/>
    </row>
    <row r="360" spans="2:3" x14ac:dyDescent="0.25">
      <c r="B360"/>
      <c r="C360"/>
    </row>
    <row r="361" spans="2:3" x14ac:dyDescent="0.25">
      <c r="B361"/>
      <c r="C361"/>
    </row>
    <row r="362" spans="2:3" x14ac:dyDescent="0.25">
      <c r="B362"/>
      <c r="C362"/>
    </row>
    <row r="363" spans="2:3" x14ac:dyDescent="0.25">
      <c r="B363"/>
      <c r="C363"/>
    </row>
    <row r="364" spans="2:3" x14ac:dyDescent="0.25">
      <c r="B364"/>
      <c r="C364"/>
    </row>
    <row r="365" spans="2:3" x14ac:dyDescent="0.25">
      <c r="B365"/>
      <c r="C365"/>
    </row>
    <row r="366" spans="2:3" x14ac:dyDescent="0.25">
      <c r="B366"/>
      <c r="C366"/>
    </row>
    <row r="367" spans="2:3" x14ac:dyDescent="0.25">
      <c r="B367"/>
      <c r="C367"/>
    </row>
    <row r="368" spans="2:3" x14ac:dyDescent="0.25">
      <c r="B368"/>
      <c r="C368"/>
    </row>
    <row r="369" spans="2:3" x14ac:dyDescent="0.25">
      <c r="B369"/>
      <c r="C369"/>
    </row>
    <row r="370" spans="2:3" x14ac:dyDescent="0.25">
      <c r="B370"/>
      <c r="C370"/>
    </row>
    <row r="371" spans="2:3" x14ac:dyDescent="0.25">
      <c r="B371"/>
      <c r="C371"/>
    </row>
    <row r="372" spans="2:3" x14ac:dyDescent="0.25">
      <c r="B372"/>
      <c r="C372"/>
    </row>
    <row r="373" spans="2:3" x14ac:dyDescent="0.25">
      <c r="B373"/>
      <c r="C373"/>
    </row>
    <row r="374" spans="2:3" x14ac:dyDescent="0.25">
      <c r="B374"/>
      <c r="C374"/>
    </row>
    <row r="375" spans="2:3" x14ac:dyDescent="0.25">
      <c r="B375"/>
      <c r="C375"/>
    </row>
    <row r="376" spans="2:3" x14ac:dyDescent="0.25">
      <c r="B376"/>
      <c r="C376"/>
    </row>
    <row r="377" spans="2:3" x14ac:dyDescent="0.25">
      <c r="B377"/>
      <c r="C377"/>
    </row>
    <row r="378" spans="2:3" x14ac:dyDescent="0.25">
      <c r="B378"/>
      <c r="C378"/>
    </row>
    <row r="379" spans="2:3" x14ac:dyDescent="0.25">
      <c r="B379"/>
      <c r="C379"/>
    </row>
    <row r="380" spans="2:3" x14ac:dyDescent="0.25">
      <c r="B380"/>
      <c r="C380"/>
    </row>
    <row r="381" spans="2:3" x14ac:dyDescent="0.25">
      <c r="B381"/>
      <c r="C381"/>
    </row>
    <row r="382" spans="2:3" x14ac:dyDescent="0.25">
      <c r="B382"/>
      <c r="C382"/>
    </row>
    <row r="383" spans="2:3" x14ac:dyDescent="0.25">
      <c r="B383"/>
      <c r="C383"/>
    </row>
    <row r="384" spans="2:3" x14ac:dyDescent="0.25">
      <c r="B384"/>
      <c r="C384"/>
    </row>
    <row r="385" spans="2:3" x14ac:dyDescent="0.25">
      <c r="B385"/>
      <c r="C385"/>
    </row>
    <row r="386" spans="2:3" x14ac:dyDescent="0.25">
      <c r="B386"/>
      <c r="C386"/>
    </row>
    <row r="387" spans="2:3" x14ac:dyDescent="0.25">
      <c r="B387"/>
      <c r="C387"/>
    </row>
    <row r="388" spans="2:3" x14ac:dyDescent="0.25">
      <c r="B388"/>
      <c r="C388"/>
    </row>
    <row r="389" spans="2:3" x14ac:dyDescent="0.25">
      <c r="B389"/>
      <c r="C389"/>
    </row>
    <row r="390" spans="2:3" x14ac:dyDescent="0.25">
      <c r="B390"/>
      <c r="C390"/>
    </row>
    <row r="391" spans="2:3" x14ac:dyDescent="0.25">
      <c r="B391"/>
      <c r="C391"/>
    </row>
    <row r="392" spans="2:3" x14ac:dyDescent="0.25">
      <c r="B392"/>
      <c r="C392"/>
    </row>
    <row r="393" spans="2:3" x14ac:dyDescent="0.25">
      <c r="B393"/>
      <c r="C393"/>
    </row>
    <row r="394" spans="2:3" x14ac:dyDescent="0.25">
      <c r="B394"/>
      <c r="C394"/>
    </row>
    <row r="395" spans="2:3" x14ac:dyDescent="0.25">
      <c r="B395"/>
      <c r="C395"/>
    </row>
    <row r="396" spans="2:3" x14ac:dyDescent="0.25">
      <c r="B396"/>
      <c r="C396"/>
    </row>
    <row r="397" spans="2:3" x14ac:dyDescent="0.25">
      <c r="B397"/>
      <c r="C397"/>
    </row>
    <row r="398" spans="2:3" x14ac:dyDescent="0.25">
      <c r="B398"/>
      <c r="C398"/>
    </row>
    <row r="399" spans="2:3" x14ac:dyDescent="0.25">
      <c r="B399"/>
      <c r="C399"/>
    </row>
    <row r="400" spans="2:3" x14ac:dyDescent="0.25">
      <c r="B400"/>
      <c r="C400"/>
    </row>
    <row r="401" spans="2:3" x14ac:dyDescent="0.25">
      <c r="B401"/>
      <c r="C401"/>
    </row>
    <row r="402" spans="2:3" x14ac:dyDescent="0.25">
      <c r="B402"/>
      <c r="C402"/>
    </row>
    <row r="403" spans="2:3" x14ac:dyDescent="0.25">
      <c r="B403"/>
      <c r="C403"/>
    </row>
    <row r="404" spans="2:3" x14ac:dyDescent="0.25">
      <c r="B404"/>
      <c r="C404"/>
    </row>
    <row r="405" spans="2:3" x14ac:dyDescent="0.25">
      <c r="B405"/>
      <c r="C405"/>
    </row>
    <row r="406" spans="2:3" x14ac:dyDescent="0.25">
      <c r="B406"/>
      <c r="C406"/>
    </row>
    <row r="407" spans="2:3" x14ac:dyDescent="0.25">
      <c r="B407"/>
      <c r="C407"/>
    </row>
    <row r="408" spans="2:3" x14ac:dyDescent="0.25">
      <c r="B408"/>
      <c r="C408"/>
    </row>
    <row r="409" spans="2:3" x14ac:dyDescent="0.25">
      <c r="B409"/>
      <c r="C409"/>
    </row>
    <row r="410" spans="2:3" x14ac:dyDescent="0.25">
      <c r="B410"/>
      <c r="C410"/>
    </row>
    <row r="411" spans="2:3" x14ac:dyDescent="0.25">
      <c r="B411"/>
      <c r="C411"/>
    </row>
    <row r="412" spans="2:3" x14ac:dyDescent="0.25">
      <c r="B412"/>
      <c r="C412"/>
    </row>
    <row r="413" spans="2:3" x14ac:dyDescent="0.25">
      <c r="B413"/>
      <c r="C413"/>
    </row>
    <row r="414" spans="2:3" x14ac:dyDescent="0.25">
      <c r="B414"/>
      <c r="C414"/>
    </row>
    <row r="415" spans="2:3" x14ac:dyDescent="0.25">
      <c r="B415"/>
      <c r="C415"/>
    </row>
    <row r="416" spans="2:3" x14ac:dyDescent="0.25">
      <c r="B416"/>
      <c r="C416"/>
    </row>
    <row r="417" spans="2:3" x14ac:dyDescent="0.25">
      <c r="B417"/>
      <c r="C417"/>
    </row>
    <row r="418" spans="2:3" x14ac:dyDescent="0.25">
      <c r="B418"/>
      <c r="C418"/>
    </row>
    <row r="419" spans="2:3" x14ac:dyDescent="0.25">
      <c r="B419"/>
      <c r="C419"/>
    </row>
    <row r="420" spans="2:3" x14ac:dyDescent="0.25">
      <c r="B420"/>
      <c r="C420"/>
    </row>
    <row r="421" spans="2:3" x14ac:dyDescent="0.25">
      <c r="B421"/>
      <c r="C421"/>
    </row>
    <row r="422" spans="2:3" x14ac:dyDescent="0.25">
      <c r="B422"/>
      <c r="C422"/>
    </row>
    <row r="423" spans="2:3" x14ac:dyDescent="0.25">
      <c r="B423"/>
      <c r="C423"/>
    </row>
    <row r="424" spans="2:3" x14ac:dyDescent="0.25">
      <c r="B424"/>
      <c r="C424"/>
    </row>
    <row r="425" spans="2:3" x14ac:dyDescent="0.25">
      <c r="B425"/>
      <c r="C425"/>
    </row>
    <row r="426" spans="2:3" x14ac:dyDescent="0.25">
      <c r="B426"/>
      <c r="C426"/>
    </row>
    <row r="427" spans="2:3" x14ac:dyDescent="0.25">
      <c r="B427"/>
      <c r="C427"/>
    </row>
    <row r="428" spans="2:3" x14ac:dyDescent="0.25">
      <c r="B428"/>
      <c r="C428"/>
    </row>
    <row r="429" spans="2:3" x14ac:dyDescent="0.25">
      <c r="B429"/>
      <c r="C429"/>
    </row>
    <row r="430" spans="2:3" x14ac:dyDescent="0.25">
      <c r="B430"/>
      <c r="C430"/>
    </row>
    <row r="431" spans="2:3" x14ac:dyDescent="0.25">
      <c r="B431"/>
      <c r="C431"/>
    </row>
    <row r="432" spans="2:3" x14ac:dyDescent="0.25">
      <c r="B432"/>
      <c r="C432"/>
    </row>
    <row r="433" spans="2:3" x14ac:dyDescent="0.25">
      <c r="B433"/>
      <c r="C433"/>
    </row>
    <row r="434" spans="2:3" x14ac:dyDescent="0.25">
      <c r="B434"/>
      <c r="C434"/>
    </row>
    <row r="435" spans="2:3" x14ac:dyDescent="0.25">
      <c r="B435"/>
      <c r="C435"/>
    </row>
    <row r="436" spans="2:3" x14ac:dyDescent="0.25">
      <c r="B436"/>
      <c r="C436"/>
    </row>
    <row r="437" spans="2:3" x14ac:dyDescent="0.25">
      <c r="B437"/>
      <c r="C437"/>
    </row>
    <row r="438" spans="2:3" x14ac:dyDescent="0.25">
      <c r="B438"/>
      <c r="C438"/>
    </row>
    <row r="439" spans="2:3" x14ac:dyDescent="0.25">
      <c r="B439"/>
      <c r="C439"/>
    </row>
    <row r="440" spans="2:3" x14ac:dyDescent="0.25">
      <c r="B440"/>
      <c r="C440"/>
    </row>
    <row r="441" spans="2:3" x14ac:dyDescent="0.25">
      <c r="B441"/>
      <c r="C441"/>
    </row>
    <row r="442" spans="2:3" x14ac:dyDescent="0.25">
      <c r="B442"/>
      <c r="C442"/>
    </row>
    <row r="443" spans="2:3" x14ac:dyDescent="0.25">
      <c r="B443"/>
      <c r="C443"/>
    </row>
    <row r="444" spans="2:3" x14ac:dyDescent="0.25">
      <c r="B444"/>
      <c r="C444"/>
    </row>
    <row r="445" spans="2:3" x14ac:dyDescent="0.25">
      <c r="B445"/>
      <c r="C445"/>
    </row>
    <row r="446" spans="2:3" x14ac:dyDescent="0.25">
      <c r="B446"/>
      <c r="C446"/>
    </row>
    <row r="447" spans="2:3" x14ac:dyDescent="0.25">
      <c r="B447"/>
      <c r="C447"/>
    </row>
    <row r="448" spans="2:3" x14ac:dyDescent="0.25">
      <c r="B448"/>
      <c r="C448"/>
    </row>
    <row r="449" spans="2:3" x14ac:dyDescent="0.25">
      <c r="B449"/>
      <c r="C449"/>
    </row>
    <row r="450" spans="2:3" x14ac:dyDescent="0.25">
      <c r="B450"/>
      <c r="C450"/>
    </row>
    <row r="451" spans="2:3" x14ac:dyDescent="0.25">
      <c r="B451"/>
      <c r="C451"/>
    </row>
    <row r="452" spans="2:3" x14ac:dyDescent="0.25">
      <c r="B452"/>
      <c r="C452"/>
    </row>
    <row r="453" spans="2:3" x14ac:dyDescent="0.25">
      <c r="B453"/>
      <c r="C453"/>
    </row>
    <row r="454" spans="2:3" x14ac:dyDescent="0.25">
      <c r="B454"/>
      <c r="C454"/>
    </row>
    <row r="455" spans="2:3" x14ac:dyDescent="0.25">
      <c r="B455"/>
      <c r="C455"/>
    </row>
    <row r="456" spans="2:3" x14ac:dyDescent="0.25">
      <c r="B456"/>
      <c r="C456"/>
    </row>
    <row r="457" spans="2:3" x14ac:dyDescent="0.25">
      <c r="B457"/>
      <c r="C457"/>
    </row>
    <row r="458" spans="2:3" x14ac:dyDescent="0.25">
      <c r="B458"/>
      <c r="C458"/>
    </row>
    <row r="459" spans="2:3" x14ac:dyDescent="0.25">
      <c r="B459"/>
      <c r="C459"/>
    </row>
    <row r="460" spans="2:3" x14ac:dyDescent="0.25">
      <c r="B460"/>
      <c r="C460"/>
    </row>
    <row r="461" spans="2:3" x14ac:dyDescent="0.25">
      <c r="B461"/>
      <c r="C461"/>
    </row>
    <row r="462" spans="2:3" x14ac:dyDescent="0.25">
      <c r="B462"/>
      <c r="C462"/>
    </row>
    <row r="463" spans="2:3" x14ac:dyDescent="0.25">
      <c r="B463"/>
      <c r="C463"/>
    </row>
    <row r="464" spans="2:3" x14ac:dyDescent="0.25">
      <c r="B464"/>
      <c r="C464"/>
    </row>
    <row r="465" spans="2:3" x14ac:dyDescent="0.25">
      <c r="B465"/>
      <c r="C465"/>
    </row>
    <row r="466" spans="2:3" x14ac:dyDescent="0.25">
      <c r="B466"/>
      <c r="C466"/>
    </row>
    <row r="467" spans="2:3" x14ac:dyDescent="0.25">
      <c r="B467"/>
      <c r="C467"/>
    </row>
    <row r="468" spans="2:3" x14ac:dyDescent="0.25">
      <c r="B468"/>
      <c r="C468"/>
    </row>
    <row r="469" spans="2:3" x14ac:dyDescent="0.25">
      <c r="B469"/>
      <c r="C469"/>
    </row>
    <row r="470" spans="2:3" x14ac:dyDescent="0.25">
      <c r="B470"/>
      <c r="C470"/>
    </row>
    <row r="471" spans="2:3" x14ac:dyDescent="0.25">
      <c r="B471"/>
      <c r="C471"/>
    </row>
    <row r="472" spans="2:3" x14ac:dyDescent="0.25">
      <c r="B472"/>
      <c r="C472"/>
    </row>
    <row r="473" spans="2:3" x14ac:dyDescent="0.25">
      <c r="B473"/>
      <c r="C473"/>
    </row>
    <row r="474" spans="2:3" x14ac:dyDescent="0.25">
      <c r="B474"/>
      <c r="C474"/>
    </row>
    <row r="475" spans="2:3" x14ac:dyDescent="0.25">
      <c r="B475"/>
      <c r="C475"/>
    </row>
    <row r="476" spans="2:3" x14ac:dyDescent="0.25">
      <c r="B476"/>
      <c r="C476"/>
    </row>
    <row r="477" spans="2:3" x14ac:dyDescent="0.25">
      <c r="B477"/>
      <c r="C477"/>
    </row>
    <row r="478" spans="2:3" x14ac:dyDescent="0.25">
      <c r="B478"/>
      <c r="C478"/>
    </row>
    <row r="479" spans="2:3" x14ac:dyDescent="0.25">
      <c r="B479"/>
      <c r="C479"/>
    </row>
    <row r="480" spans="2:3" x14ac:dyDescent="0.25">
      <c r="B480"/>
      <c r="C480"/>
    </row>
    <row r="481" spans="2:3" x14ac:dyDescent="0.25">
      <c r="B481"/>
      <c r="C481"/>
    </row>
    <row r="482" spans="2:3" x14ac:dyDescent="0.25">
      <c r="B482"/>
      <c r="C482"/>
    </row>
    <row r="483" spans="2:3" x14ac:dyDescent="0.25">
      <c r="B483"/>
      <c r="C483"/>
    </row>
    <row r="484" spans="2:3" x14ac:dyDescent="0.25">
      <c r="B484"/>
      <c r="C484"/>
    </row>
    <row r="485" spans="2:3" x14ac:dyDescent="0.25">
      <c r="B485"/>
      <c r="C485"/>
    </row>
    <row r="486" spans="2:3" x14ac:dyDescent="0.25">
      <c r="B486"/>
      <c r="C486"/>
    </row>
    <row r="487" spans="2:3" x14ac:dyDescent="0.25">
      <c r="B487"/>
      <c r="C487"/>
    </row>
    <row r="488" spans="2:3" x14ac:dyDescent="0.25">
      <c r="B488"/>
      <c r="C488"/>
    </row>
    <row r="489" spans="2:3" x14ac:dyDescent="0.25">
      <c r="B489"/>
      <c r="C489"/>
    </row>
    <row r="490" spans="2:3" x14ac:dyDescent="0.25">
      <c r="B490"/>
      <c r="C490"/>
    </row>
    <row r="491" spans="2:3" x14ac:dyDescent="0.25">
      <c r="B491"/>
      <c r="C491"/>
    </row>
    <row r="492" spans="2:3" x14ac:dyDescent="0.25">
      <c r="B492"/>
      <c r="C492"/>
    </row>
    <row r="493" spans="2:3" x14ac:dyDescent="0.25">
      <c r="B493"/>
      <c r="C493"/>
    </row>
    <row r="494" spans="2:3" x14ac:dyDescent="0.25">
      <c r="B494"/>
      <c r="C494"/>
    </row>
    <row r="495" spans="2:3" x14ac:dyDescent="0.25">
      <c r="B495"/>
      <c r="C495"/>
    </row>
    <row r="496" spans="2:3" x14ac:dyDescent="0.25">
      <c r="B496"/>
      <c r="C496"/>
    </row>
    <row r="497" spans="2:3" x14ac:dyDescent="0.25">
      <c r="B497"/>
      <c r="C497"/>
    </row>
    <row r="498" spans="2:3" x14ac:dyDescent="0.25">
      <c r="B498"/>
      <c r="C498"/>
    </row>
    <row r="499" spans="2:3" x14ac:dyDescent="0.25">
      <c r="B499"/>
      <c r="C499"/>
    </row>
    <row r="500" spans="2:3" x14ac:dyDescent="0.25">
      <c r="B500"/>
      <c r="C500"/>
    </row>
    <row r="501" spans="2:3" x14ac:dyDescent="0.25">
      <c r="B501"/>
      <c r="C501"/>
    </row>
    <row r="502" spans="2:3" x14ac:dyDescent="0.25">
      <c r="B502"/>
      <c r="C502"/>
    </row>
    <row r="503" spans="2:3" x14ac:dyDescent="0.25">
      <c r="B503"/>
      <c r="C503"/>
    </row>
    <row r="504" spans="2:3" x14ac:dyDescent="0.25">
      <c r="B504"/>
      <c r="C504"/>
    </row>
    <row r="505" spans="2:3" x14ac:dyDescent="0.25">
      <c r="B505"/>
      <c r="C505"/>
    </row>
    <row r="506" spans="2:3" x14ac:dyDescent="0.25">
      <c r="B506"/>
      <c r="C506"/>
    </row>
    <row r="507" spans="2:3" x14ac:dyDescent="0.25">
      <c r="B507"/>
      <c r="C507"/>
    </row>
    <row r="508" spans="2:3" x14ac:dyDescent="0.25">
      <c r="B508"/>
      <c r="C508"/>
    </row>
    <row r="509" spans="2:3" x14ac:dyDescent="0.25">
      <c r="B509"/>
      <c r="C509"/>
    </row>
    <row r="510" spans="2:3" x14ac:dyDescent="0.25">
      <c r="B510"/>
      <c r="C510"/>
    </row>
    <row r="511" spans="2:3" x14ac:dyDescent="0.25">
      <c r="B511"/>
      <c r="C511"/>
    </row>
    <row r="512" spans="2:3" x14ac:dyDescent="0.25">
      <c r="B512"/>
      <c r="C512"/>
    </row>
    <row r="513" spans="2:3" x14ac:dyDescent="0.25">
      <c r="B513"/>
      <c r="C513"/>
    </row>
    <row r="514" spans="2:3" x14ac:dyDescent="0.25">
      <c r="B514"/>
      <c r="C514"/>
    </row>
    <row r="515" spans="2:3" x14ac:dyDescent="0.25">
      <c r="B515"/>
      <c r="C515"/>
    </row>
    <row r="516" spans="2:3" x14ac:dyDescent="0.25">
      <c r="B516"/>
      <c r="C516"/>
    </row>
    <row r="517" spans="2:3" x14ac:dyDescent="0.25">
      <c r="B517"/>
      <c r="C517"/>
    </row>
    <row r="518" spans="2:3" x14ac:dyDescent="0.25">
      <c r="B518"/>
      <c r="C518"/>
    </row>
    <row r="519" spans="2:3" x14ac:dyDescent="0.25">
      <c r="B519"/>
      <c r="C519"/>
    </row>
    <row r="520" spans="2:3" x14ac:dyDescent="0.25">
      <c r="B520"/>
      <c r="C520"/>
    </row>
    <row r="521" spans="2:3" x14ac:dyDescent="0.25">
      <c r="B521"/>
      <c r="C521"/>
    </row>
    <row r="522" spans="2:3" x14ac:dyDescent="0.25">
      <c r="B522"/>
      <c r="C522"/>
    </row>
    <row r="523" spans="2:3" x14ac:dyDescent="0.25">
      <c r="B523"/>
      <c r="C523"/>
    </row>
    <row r="524" spans="2:3" x14ac:dyDescent="0.25">
      <c r="B524"/>
      <c r="C524"/>
    </row>
    <row r="525" spans="2:3" x14ac:dyDescent="0.25">
      <c r="B525"/>
      <c r="C525"/>
    </row>
    <row r="526" spans="2:3" x14ac:dyDescent="0.25">
      <c r="B526"/>
      <c r="C526"/>
    </row>
    <row r="527" spans="2:3" x14ac:dyDescent="0.25">
      <c r="B527"/>
      <c r="C527"/>
    </row>
    <row r="528" spans="2:3" x14ac:dyDescent="0.25">
      <c r="B528"/>
      <c r="C528"/>
    </row>
    <row r="529" spans="2:3" x14ac:dyDescent="0.25">
      <c r="B529"/>
      <c r="C529"/>
    </row>
    <row r="530" spans="2:3" x14ac:dyDescent="0.25">
      <c r="B530"/>
      <c r="C530"/>
    </row>
    <row r="531" spans="2:3" x14ac:dyDescent="0.25">
      <c r="B531"/>
      <c r="C531"/>
    </row>
    <row r="532" spans="2:3" x14ac:dyDescent="0.25">
      <c r="B532"/>
      <c r="C532"/>
    </row>
    <row r="533" spans="2:3" x14ac:dyDescent="0.25">
      <c r="B533"/>
      <c r="C533"/>
    </row>
    <row r="534" spans="2:3" x14ac:dyDescent="0.25">
      <c r="B534"/>
      <c r="C534"/>
    </row>
    <row r="535" spans="2:3" x14ac:dyDescent="0.25">
      <c r="B535"/>
      <c r="C535"/>
    </row>
    <row r="536" spans="2:3" x14ac:dyDescent="0.25">
      <c r="B536"/>
      <c r="C536"/>
    </row>
    <row r="537" spans="2:3" x14ac:dyDescent="0.25">
      <c r="B537"/>
      <c r="C537"/>
    </row>
    <row r="538" spans="2:3" x14ac:dyDescent="0.25">
      <c r="B538"/>
      <c r="C538"/>
    </row>
    <row r="539" spans="2:3" x14ac:dyDescent="0.25">
      <c r="B539"/>
      <c r="C539"/>
    </row>
    <row r="540" spans="2:3" x14ac:dyDescent="0.25">
      <c r="B540"/>
      <c r="C540"/>
    </row>
    <row r="541" spans="2:3" x14ac:dyDescent="0.25">
      <c r="B541"/>
      <c r="C541"/>
    </row>
    <row r="542" spans="2:3" x14ac:dyDescent="0.25">
      <c r="B542"/>
      <c r="C542"/>
    </row>
    <row r="543" spans="2:3" x14ac:dyDescent="0.25">
      <c r="B543"/>
      <c r="C543"/>
    </row>
    <row r="544" spans="2:3" x14ac:dyDescent="0.25">
      <c r="B544"/>
      <c r="C544"/>
    </row>
    <row r="545" spans="2:3" x14ac:dyDescent="0.25">
      <c r="B545"/>
      <c r="C545"/>
    </row>
    <row r="546" spans="2:3" x14ac:dyDescent="0.25">
      <c r="B546"/>
      <c r="C546"/>
    </row>
    <row r="547" spans="2:3" x14ac:dyDescent="0.25">
      <c r="B547"/>
      <c r="C547"/>
    </row>
    <row r="548" spans="2:3" x14ac:dyDescent="0.25">
      <c r="B548"/>
      <c r="C548"/>
    </row>
    <row r="549" spans="2:3" x14ac:dyDescent="0.25">
      <c r="B549"/>
      <c r="C549"/>
    </row>
    <row r="550" spans="2:3" x14ac:dyDescent="0.25">
      <c r="B550"/>
      <c r="C550"/>
    </row>
    <row r="551" spans="2:3" x14ac:dyDescent="0.25">
      <c r="B551"/>
      <c r="C551"/>
    </row>
    <row r="552" spans="2:3" x14ac:dyDescent="0.25">
      <c r="B552"/>
      <c r="C552"/>
    </row>
    <row r="553" spans="2:3" x14ac:dyDescent="0.25">
      <c r="B553"/>
      <c r="C553"/>
    </row>
    <row r="554" spans="2:3" x14ac:dyDescent="0.25">
      <c r="B554"/>
      <c r="C554"/>
    </row>
    <row r="555" spans="2:3" x14ac:dyDescent="0.25">
      <c r="B555"/>
      <c r="C555"/>
    </row>
    <row r="556" spans="2:3" x14ac:dyDescent="0.25">
      <c r="B556"/>
      <c r="C556"/>
    </row>
    <row r="557" spans="2:3" x14ac:dyDescent="0.25">
      <c r="B557"/>
      <c r="C557"/>
    </row>
    <row r="558" spans="2:3" x14ac:dyDescent="0.25">
      <c r="B558"/>
      <c r="C558"/>
    </row>
    <row r="559" spans="2:3" x14ac:dyDescent="0.25">
      <c r="B559"/>
      <c r="C559"/>
    </row>
    <row r="560" spans="2:3" x14ac:dyDescent="0.25">
      <c r="B560"/>
      <c r="C560"/>
    </row>
    <row r="561" spans="2:3" x14ac:dyDescent="0.25">
      <c r="B561"/>
      <c r="C561"/>
    </row>
    <row r="562" spans="2:3" x14ac:dyDescent="0.25">
      <c r="B562"/>
      <c r="C562"/>
    </row>
    <row r="563" spans="2:3" x14ac:dyDescent="0.25">
      <c r="B563"/>
      <c r="C563"/>
    </row>
    <row r="564" spans="2:3" x14ac:dyDescent="0.25">
      <c r="B564"/>
      <c r="C564"/>
    </row>
    <row r="565" spans="2:3" x14ac:dyDescent="0.25">
      <c r="B565"/>
      <c r="C565"/>
    </row>
    <row r="566" spans="2:3" x14ac:dyDescent="0.25">
      <c r="B566"/>
      <c r="C566"/>
    </row>
    <row r="567" spans="2:3" x14ac:dyDescent="0.25">
      <c r="B567"/>
      <c r="C567"/>
    </row>
    <row r="568" spans="2:3" x14ac:dyDescent="0.25">
      <c r="B568"/>
      <c r="C568"/>
    </row>
    <row r="569" spans="2:3" x14ac:dyDescent="0.25">
      <c r="B569"/>
      <c r="C569"/>
    </row>
    <row r="570" spans="2:3" x14ac:dyDescent="0.25">
      <c r="B570"/>
      <c r="C570"/>
    </row>
    <row r="571" spans="2:3" x14ac:dyDescent="0.25">
      <c r="B571"/>
      <c r="C571"/>
    </row>
    <row r="572" spans="2:3" x14ac:dyDescent="0.25">
      <c r="B572"/>
      <c r="C572"/>
    </row>
    <row r="573" spans="2:3" x14ac:dyDescent="0.25">
      <c r="B573"/>
      <c r="C573"/>
    </row>
    <row r="574" spans="2:3" x14ac:dyDescent="0.25">
      <c r="B574"/>
      <c r="C574"/>
    </row>
    <row r="575" spans="2:3" x14ac:dyDescent="0.25">
      <c r="B575"/>
      <c r="C575"/>
    </row>
    <row r="576" spans="2:3" x14ac:dyDescent="0.25">
      <c r="B576"/>
      <c r="C576"/>
    </row>
    <row r="577" spans="2:3" x14ac:dyDescent="0.25">
      <c r="B577"/>
      <c r="C577"/>
    </row>
    <row r="578" spans="2:3" x14ac:dyDescent="0.25">
      <c r="B578"/>
      <c r="C578"/>
    </row>
    <row r="579" spans="2:3" x14ac:dyDescent="0.25">
      <c r="B579"/>
      <c r="C579"/>
    </row>
    <row r="580" spans="2:3" x14ac:dyDescent="0.25">
      <c r="B580"/>
      <c r="C580"/>
    </row>
    <row r="581" spans="2:3" x14ac:dyDescent="0.25">
      <c r="B581"/>
      <c r="C581"/>
    </row>
    <row r="582" spans="2:3" x14ac:dyDescent="0.25">
      <c r="B582"/>
      <c r="C582"/>
    </row>
    <row r="583" spans="2:3" x14ac:dyDescent="0.25">
      <c r="B583"/>
      <c r="C583"/>
    </row>
    <row r="584" spans="2:3" x14ac:dyDescent="0.25">
      <c r="B584"/>
      <c r="C584"/>
    </row>
    <row r="585" spans="2:3" x14ac:dyDescent="0.25">
      <c r="B585"/>
      <c r="C585"/>
    </row>
    <row r="586" spans="2:3" x14ac:dyDescent="0.25">
      <c r="B586"/>
      <c r="C586"/>
    </row>
    <row r="587" spans="2:3" x14ac:dyDescent="0.25">
      <c r="B587"/>
      <c r="C587"/>
    </row>
    <row r="588" spans="2:3" x14ac:dyDescent="0.25">
      <c r="B588"/>
      <c r="C588"/>
    </row>
    <row r="589" spans="2:3" x14ac:dyDescent="0.25">
      <c r="B589"/>
      <c r="C589"/>
    </row>
    <row r="590" spans="2:3" x14ac:dyDescent="0.25">
      <c r="B590"/>
      <c r="C590"/>
    </row>
    <row r="591" spans="2:3" x14ac:dyDescent="0.25">
      <c r="B591"/>
      <c r="C591"/>
    </row>
    <row r="592" spans="2:3" x14ac:dyDescent="0.25">
      <c r="B592"/>
      <c r="C592"/>
    </row>
    <row r="593" spans="2:3" x14ac:dyDescent="0.25">
      <c r="B593"/>
      <c r="C593"/>
    </row>
    <row r="594" spans="2:3" x14ac:dyDescent="0.25">
      <c r="B594"/>
      <c r="C594"/>
    </row>
    <row r="595" spans="2:3" x14ac:dyDescent="0.25">
      <c r="B595"/>
      <c r="C595"/>
    </row>
    <row r="596" spans="2:3" x14ac:dyDescent="0.25">
      <c r="B596"/>
      <c r="C596"/>
    </row>
    <row r="597" spans="2:3" x14ac:dyDescent="0.25">
      <c r="B597"/>
      <c r="C597"/>
    </row>
    <row r="598" spans="2:3" x14ac:dyDescent="0.25">
      <c r="B598"/>
      <c r="C598"/>
    </row>
    <row r="599" spans="2:3" x14ac:dyDescent="0.25">
      <c r="B599"/>
      <c r="C599"/>
    </row>
    <row r="600" spans="2:3" x14ac:dyDescent="0.25">
      <c r="B600"/>
      <c r="C600"/>
    </row>
    <row r="601" spans="2:3" x14ac:dyDescent="0.25">
      <c r="B601"/>
      <c r="C601"/>
    </row>
    <row r="602" spans="2:3" x14ac:dyDescent="0.25">
      <c r="B602"/>
      <c r="C602"/>
    </row>
    <row r="603" spans="2:3" x14ac:dyDescent="0.25">
      <c r="B603"/>
      <c r="C603"/>
    </row>
    <row r="604" spans="2:3" x14ac:dyDescent="0.25">
      <c r="B604"/>
      <c r="C604"/>
    </row>
    <row r="605" spans="2:3" x14ac:dyDescent="0.25">
      <c r="B605"/>
      <c r="C605"/>
    </row>
    <row r="606" spans="2:3" x14ac:dyDescent="0.25">
      <c r="B606"/>
      <c r="C606"/>
    </row>
    <row r="607" spans="2:3" x14ac:dyDescent="0.25">
      <c r="B607"/>
      <c r="C607"/>
    </row>
    <row r="608" spans="2:3" x14ac:dyDescent="0.25">
      <c r="B608"/>
      <c r="C608"/>
    </row>
    <row r="609" spans="2:3" x14ac:dyDescent="0.25">
      <c r="B609"/>
      <c r="C609"/>
    </row>
    <row r="610" spans="2:3" x14ac:dyDescent="0.25">
      <c r="B610"/>
      <c r="C610"/>
    </row>
    <row r="611" spans="2:3" x14ac:dyDescent="0.25">
      <c r="B611"/>
      <c r="C611"/>
    </row>
    <row r="612" spans="2:3" x14ac:dyDescent="0.25">
      <c r="B612"/>
      <c r="C612"/>
    </row>
    <row r="613" spans="2:3" x14ac:dyDescent="0.25">
      <c r="B613"/>
      <c r="C613"/>
    </row>
    <row r="614" spans="2:3" x14ac:dyDescent="0.25">
      <c r="B614"/>
      <c r="C614"/>
    </row>
    <row r="615" spans="2:3" x14ac:dyDescent="0.25">
      <c r="B615"/>
      <c r="C615"/>
    </row>
    <row r="616" spans="2:3" x14ac:dyDescent="0.25">
      <c r="B616"/>
      <c r="C616"/>
    </row>
    <row r="617" spans="2:3" x14ac:dyDescent="0.25">
      <c r="B617"/>
      <c r="C617"/>
    </row>
    <row r="618" spans="2:3" x14ac:dyDescent="0.25">
      <c r="B618"/>
      <c r="C618"/>
    </row>
    <row r="619" spans="2:3" x14ac:dyDescent="0.25">
      <c r="B619"/>
      <c r="C619"/>
    </row>
    <row r="620" spans="2:3" x14ac:dyDescent="0.25">
      <c r="B620"/>
      <c r="C620"/>
    </row>
    <row r="621" spans="2:3" x14ac:dyDescent="0.25">
      <c r="B621"/>
      <c r="C621"/>
    </row>
    <row r="622" spans="2:3" x14ac:dyDescent="0.25">
      <c r="B622"/>
      <c r="C622"/>
    </row>
    <row r="623" spans="2:3" x14ac:dyDescent="0.25">
      <c r="B623"/>
      <c r="C623"/>
    </row>
    <row r="624" spans="2:3" x14ac:dyDescent="0.25">
      <c r="B624"/>
      <c r="C624"/>
    </row>
    <row r="625" spans="2:3" x14ac:dyDescent="0.25">
      <c r="B625"/>
      <c r="C625"/>
    </row>
    <row r="626" spans="2:3" x14ac:dyDescent="0.25">
      <c r="B626"/>
      <c r="C626"/>
    </row>
    <row r="627" spans="2:3" x14ac:dyDescent="0.25">
      <c r="B627"/>
      <c r="C627"/>
    </row>
    <row r="628" spans="2:3" x14ac:dyDescent="0.25">
      <c r="B628"/>
      <c r="C628"/>
    </row>
    <row r="629" spans="2:3" x14ac:dyDescent="0.25">
      <c r="B629"/>
      <c r="C629"/>
    </row>
    <row r="630" spans="2:3" x14ac:dyDescent="0.25">
      <c r="B630"/>
      <c r="C630"/>
    </row>
    <row r="631" spans="2:3" x14ac:dyDescent="0.25">
      <c r="B631"/>
      <c r="C631"/>
    </row>
    <row r="632" spans="2:3" x14ac:dyDescent="0.25">
      <c r="B632"/>
      <c r="C632"/>
    </row>
    <row r="633" spans="2:3" x14ac:dyDescent="0.25">
      <c r="B633"/>
      <c r="C633"/>
    </row>
    <row r="634" spans="2:3" x14ac:dyDescent="0.25">
      <c r="B634"/>
      <c r="C634"/>
    </row>
    <row r="635" spans="2:3" x14ac:dyDescent="0.25">
      <c r="B635"/>
      <c r="C635"/>
    </row>
    <row r="636" spans="2:3" x14ac:dyDescent="0.25">
      <c r="B636"/>
      <c r="C636"/>
    </row>
    <row r="637" spans="2:3" x14ac:dyDescent="0.25">
      <c r="B637"/>
      <c r="C637"/>
    </row>
    <row r="638" spans="2:3" x14ac:dyDescent="0.25">
      <c r="B638"/>
      <c r="C638"/>
    </row>
    <row r="639" spans="2:3" x14ac:dyDescent="0.25">
      <c r="B639"/>
      <c r="C639"/>
    </row>
    <row r="640" spans="2:3" x14ac:dyDescent="0.25">
      <c r="B640"/>
      <c r="C640"/>
    </row>
    <row r="641" spans="2:3" x14ac:dyDescent="0.25">
      <c r="B641"/>
      <c r="C641"/>
    </row>
    <row r="642" spans="2:3" x14ac:dyDescent="0.25">
      <c r="B642"/>
      <c r="C642"/>
    </row>
    <row r="643" spans="2:3" x14ac:dyDescent="0.25">
      <c r="B643"/>
      <c r="C643"/>
    </row>
    <row r="644" spans="2:3" x14ac:dyDescent="0.25">
      <c r="B644"/>
      <c r="C644"/>
    </row>
    <row r="645" spans="2:3" x14ac:dyDescent="0.25">
      <c r="B645"/>
      <c r="C645"/>
    </row>
    <row r="646" spans="2:3" x14ac:dyDescent="0.25">
      <c r="B646"/>
      <c r="C646"/>
    </row>
    <row r="647" spans="2:3" x14ac:dyDescent="0.25">
      <c r="B647"/>
      <c r="C647"/>
    </row>
    <row r="648" spans="2:3" x14ac:dyDescent="0.25">
      <c r="B648"/>
      <c r="C648"/>
    </row>
    <row r="649" spans="2:3" x14ac:dyDescent="0.25">
      <c r="B649"/>
      <c r="C649"/>
    </row>
    <row r="650" spans="2:3" x14ac:dyDescent="0.25">
      <c r="B650"/>
      <c r="C650"/>
    </row>
    <row r="651" spans="2:3" x14ac:dyDescent="0.25">
      <c r="B651"/>
      <c r="C651"/>
    </row>
    <row r="652" spans="2:3" x14ac:dyDescent="0.25">
      <c r="B652"/>
      <c r="C652"/>
    </row>
    <row r="653" spans="2:3" x14ac:dyDescent="0.25">
      <c r="B653"/>
      <c r="C653"/>
    </row>
    <row r="654" spans="2:3" x14ac:dyDescent="0.25">
      <c r="B654"/>
      <c r="C654"/>
    </row>
    <row r="655" spans="2:3" x14ac:dyDescent="0.25">
      <c r="B655"/>
      <c r="C655"/>
    </row>
    <row r="656" spans="2:3" x14ac:dyDescent="0.25">
      <c r="B656"/>
      <c r="C656"/>
    </row>
    <row r="657" spans="2:3" x14ac:dyDescent="0.25">
      <c r="B657"/>
      <c r="C657"/>
    </row>
    <row r="658" spans="2:3" x14ac:dyDescent="0.25">
      <c r="B658"/>
      <c r="C658"/>
    </row>
    <row r="659" spans="2:3" x14ac:dyDescent="0.25">
      <c r="B659"/>
      <c r="C659"/>
    </row>
    <row r="660" spans="2:3" x14ac:dyDescent="0.25">
      <c r="B660"/>
      <c r="C660"/>
    </row>
    <row r="661" spans="2:3" x14ac:dyDescent="0.25">
      <c r="B661"/>
      <c r="C661"/>
    </row>
    <row r="662" spans="2:3" x14ac:dyDescent="0.25">
      <c r="B662"/>
      <c r="C662"/>
    </row>
    <row r="663" spans="2:3" x14ac:dyDescent="0.25">
      <c r="B663"/>
      <c r="C663"/>
    </row>
    <row r="664" spans="2:3" x14ac:dyDescent="0.25">
      <c r="B664"/>
      <c r="C664"/>
    </row>
    <row r="665" spans="2:3" x14ac:dyDescent="0.25">
      <c r="B665"/>
      <c r="C665"/>
    </row>
    <row r="666" spans="2:3" x14ac:dyDescent="0.25">
      <c r="B666"/>
      <c r="C666"/>
    </row>
    <row r="667" spans="2:3" x14ac:dyDescent="0.25">
      <c r="B667"/>
      <c r="C667"/>
    </row>
    <row r="668" spans="2:3" x14ac:dyDescent="0.25">
      <c r="B668"/>
      <c r="C668"/>
    </row>
    <row r="669" spans="2:3" x14ac:dyDescent="0.25">
      <c r="B669"/>
      <c r="C669"/>
    </row>
    <row r="670" spans="2:3" x14ac:dyDescent="0.25">
      <c r="B670"/>
      <c r="C670"/>
    </row>
    <row r="671" spans="2:3" x14ac:dyDescent="0.25">
      <c r="B671"/>
      <c r="C671"/>
    </row>
    <row r="672" spans="2:3" x14ac:dyDescent="0.25">
      <c r="B672"/>
      <c r="C672"/>
    </row>
    <row r="673" spans="2:3" x14ac:dyDescent="0.25">
      <c r="B673"/>
      <c r="C673"/>
    </row>
    <row r="674" spans="2:3" x14ac:dyDescent="0.25">
      <c r="B674"/>
      <c r="C674"/>
    </row>
    <row r="675" spans="2:3" x14ac:dyDescent="0.25">
      <c r="B675"/>
      <c r="C675"/>
    </row>
    <row r="676" spans="2:3" x14ac:dyDescent="0.25">
      <c r="B676"/>
      <c r="C676"/>
    </row>
    <row r="677" spans="2:3" x14ac:dyDescent="0.25">
      <c r="B677"/>
      <c r="C677"/>
    </row>
    <row r="678" spans="2:3" x14ac:dyDescent="0.25">
      <c r="B678"/>
      <c r="C678"/>
    </row>
    <row r="679" spans="2:3" x14ac:dyDescent="0.25">
      <c r="B679"/>
      <c r="C679"/>
    </row>
    <row r="680" spans="2:3" x14ac:dyDescent="0.25">
      <c r="B680"/>
      <c r="C680"/>
    </row>
    <row r="681" spans="2:3" x14ac:dyDescent="0.25">
      <c r="B681"/>
      <c r="C681"/>
    </row>
    <row r="682" spans="2:3" x14ac:dyDescent="0.25">
      <c r="B682"/>
      <c r="C682"/>
    </row>
    <row r="683" spans="2:3" x14ac:dyDescent="0.25">
      <c r="B683"/>
      <c r="C683"/>
    </row>
    <row r="684" spans="2:3" x14ac:dyDescent="0.25">
      <c r="B684"/>
      <c r="C684"/>
    </row>
    <row r="685" spans="2:3" x14ac:dyDescent="0.25">
      <c r="B685"/>
      <c r="C685"/>
    </row>
    <row r="686" spans="2:3" x14ac:dyDescent="0.25">
      <c r="B686"/>
      <c r="C686"/>
    </row>
    <row r="687" spans="2:3" x14ac:dyDescent="0.25">
      <c r="B687"/>
      <c r="C687"/>
    </row>
    <row r="688" spans="2:3" x14ac:dyDescent="0.25">
      <c r="B688"/>
      <c r="C688"/>
    </row>
    <row r="689" spans="2:3" x14ac:dyDescent="0.25">
      <c r="B689"/>
      <c r="C689"/>
    </row>
    <row r="690" spans="2:3" x14ac:dyDescent="0.25">
      <c r="B690"/>
      <c r="C690"/>
    </row>
    <row r="691" spans="2:3" x14ac:dyDescent="0.25">
      <c r="B691"/>
      <c r="C691"/>
    </row>
    <row r="692" spans="2:3" x14ac:dyDescent="0.25">
      <c r="B692"/>
      <c r="C692"/>
    </row>
    <row r="693" spans="2:3" x14ac:dyDescent="0.25">
      <c r="B693"/>
      <c r="C693"/>
    </row>
    <row r="694" spans="2:3" x14ac:dyDescent="0.25">
      <c r="B694"/>
      <c r="C694"/>
    </row>
    <row r="695" spans="2:3" x14ac:dyDescent="0.25">
      <c r="B695"/>
      <c r="C695"/>
    </row>
    <row r="696" spans="2:3" x14ac:dyDescent="0.25">
      <c r="B696"/>
      <c r="C696"/>
    </row>
    <row r="697" spans="2:3" x14ac:dyDescent="0.25">
      <c r="B697"/>
      <c r="C697"/>
    </row>
    <row r="698" spans="2:3" x14ac:dyDescent="0.25">
      <c r="B698"/>
      <c r="C698"/>
    </row>
    <row r="699" spans="2:3" x14ac:dyDescent="0.25">
      <c r="B699"/>
      <c r="C699"/>
    </row>
    <row r="700" spans="2:3" x14ac:dyDescent="0.25">
      <c r="B700"/>
      <c r="C700"/>
    </row>
    <row r="701" spans="2:3" x14ac:dyDescent="0.25">
      <c r="B701"/>
      <c r="C701"/>
    </row>
    <row r="702" spans="2:3" x14ac:dyDescent="0.25">
      <c r="B702"/>
      <c r="C702"/>
    </row>
    <row r="703" spans="2:3" x14ac:dyDescent="0.25">
      <c r="B703"/>
      <c r="C703"/>
    </row>
    <row r="704" spans="2:3" x14ac:dyDescent="0.25">
      <c r="B704"/>
      <c r="C704"/>
    </row>
    <row r="705" spans="2:3" x14ac:dyDescent="0.25">
      <c r="B705"/>
      <c r="C705"/>
    </row>
    <row r="706" spans="2:3" x14ac:dyDescent="0.25">
      <c r="B706"/>
      <c r="C706"/>
    </row>
    <row r="707" spans="2:3" x14ac:dyDescent="0.25">
      <c r="B707"/>
      <c r="C707"/>
    </row>
    <row r="708" spans="2:3" x14ac:dyDescent="0.25">
      <c r="B708"/>
      <c r="C708"/>
    </row>
    <row r="709" spans="2:3" x14ac:dyDescent="0.25">
      <c r="B709"/>
      <c r="C709"/>
    </row>
    <row r="710" spans="2:3" x14ac:dyDescent="0.25">
      <c r="B710"/>
      <c r="C710"/>
    </row>
    <row r="711" spans="2:3" x14ac:dyDescent="0.25">
      <c r="B711"/>
      <c r="C711"/>
    </row>
    <row r="712" spans="2:3" x14ac:dyDescent="0.25">
      <c r="B712"/>
      <c r="C712"/>
    </row>
    <row r="713" spans="2:3" x14ac:dyDescent="0.25">
      <c r="B713"/>
      <c r="C713"/>
    </row>
    <row r="714" spans="2:3" x14ac:dyDescent="0.25">
      <c r="B714"/>
      <c r="C714"/>
    </row>
    <row r="715" spans="2:3" x14ac:dyDescent="0.25">
      <c r="B715"/>
      <c r="C715"/>
    </row>
    <row r="716" spans="2:3" x14ac:dyDescent="0.25">
      <c r="B716"/>
      <c r="C716"/>
    </row>
    <row r="717" spans="2:3" x14ac:dyDescent="0.25">
      <c r="B717"/>
      <c r="C717"/>
    </row>
    <row r="718" spans="2:3" x14ac:dyDescent="0.25">
      <c r="B718"/>
      <c r="C718"/>
    </row>
    <row r="719" spans="2:3" x14ac:dyDescent="0.25">
      <c r="B719"/>
      <c r="C719"/>
    </row>
    <row r="720" spans="2:3" x14ac:dyDescent="0.25">
      <c r="B720"/>
      <c r="C720"/>
    </row>
    <row r="721" spans="2:3" x14ac:dyDescent="0.25">
      <c r="B721"/>
      <c r="C721"/>
    </row>
    <row r="722" spans="2:3" x14ac:dyDescent="0.25">
      <c r="B722"/>
      <c r="C722"/>
    </row>
    <row r="723" spans="2:3" x14ac:dyDescent="0.25">
      <c r="B723"/>
      <c r="C723"/>
    </row>
    <row r="724" spans="2:3" x14ac:dyDescent="0.25">
      <c r="B724"/>
      <c r="C724"/>
    </row>
    <row r="725" spans="2:3" x14ac:dyDescent="0.25">
      <c r="B725"/>
      <c r="C725"/>
    </row>
    <row r="726" spans="2:3" x14ac:dyDescent="0.25">
      <c r="B726"/>
      <c r="C726"/>
    </row>
    <row r="727" spans="2:3" x14ac:dyDescent="0.25">
      <c r="B727"/>
      <c r="C727"/>
    </row>
    <row r="728" spans="2:3" x14ac:dyDescent="0.25">
      <c r="B728"/>
      <c r="C728"/>
    </row>
    <row r="729" spans="2:3" x14ac:dyDescent="0.25">
      <c r="B729"/>
      <c r="C729"/>
    </row>
    <row r="730" spans="2:3" x14ac:dyDescent="0.25">
      <c r="B730"/>
      <c r="C730"/>
    </row>
    <row r="731" spans="2:3" x14ac:dyDescent="0.25">
      <c r="B731"/>
      <c r="C731"/>
    </row>
    <row r="732" spans="2:3" x14ac:dyDescent="0.25">
      <c r="B732"/>
      <c r="C732"/>
    </row>
    <row r="733" spans="2:3" x14ac:dyDescent="0.25">
      <c r="B733"/>
      <c r="C733"/>
    </row>
    <row r="734" spans="2:3" x14ac:dyDescent="0.25">
      <c r="B734"/>
      <c r="C734"/>
    </row>
    <row r="735" spans="2:3" x14ac:dyDescent="0.25">
      <c r="B735"/>
      <c r="C735"/>
    </row>
    <row r="736" spans="2:3" x14ac:dyDescent="0.25">
      <c r="B736"/>
      <c r="C736"/>
    </row>
    <row r="737" spans="2:3" x14ac:dyDescent="0.25">
      <c r="B737"/>
      <c r="C737"/>
    </row>
    <row r="738" spans="2:3" x14ac:dyDescent="0.25">
      <c r="B738"/>
      <c r="C738"/>
    </row>
    <row r="739" spans="2:3" x14ac:dyDescent="0.25">
      <c r="B739"/>
      <c r="C739"/>
    </row>
    <row r="740" spans="2:3" x14ac:dyDescent="0.25">
      <c r="B740"/>
      <c r="C740"/>
    </row>
    <row r="741" spans="2:3" x14ac:dyDescent="0.25">
      <c r="B741"/>
      <c r="C741"/>
    </row>
    <row r="742" spans="2:3" x14ac:dyDescent="0.25">
      <c r="B742"/>
      <c r="C742"/>
    </row>
    <row r="743" spans="2:3" x14ac:dyDescent="0.25">
      <c r="B743"/>
      <c r="C743"/>
    </row>
    <row r="744" spans="2:3" x14ac:dyDescent="0.25">
      <c r="B744"/>
      <c r="C744"/>
    </row>
    <row r="745" spans="2:3" x14ac:dyDescent="0.25">
      <c r="B745"/>
      <c r="C745"/>
    </row>
    <row r="746" spans="2:3" x14ac:dyDescent="0.25">
      <c r="B746"/>
      <c r="C746"/>
    </row>
    <row r="747" spans="2:3" x14ac:dyDescent="0.25">
      <c r="B747"/>
      <c r="C747"/>
    </row>
    <row r="748" spans="2:3" x14ac:dyDescent="0.25">
      <c r="B748"/>
      <c r="C748"/>
    </row>
    <row r="749" spans="2:3" x14ac:dyDescent="0.25">
      <c r="B749"/>
      <c r="C749"/>
    </row>
    <row r="750" spans="2:3" x14ac:dyDescent="0.25">
      <c r="B750"/>
      <c r="C750"/>
    </row>
    <row r="751" spans="2:3" x14ac:dyDescent="0.25">
      <c r="B751"/>
      <c r="C751"/>
    </row>
    <row r="752" spans="2:3" x14ac:dyDescent="0.25">
      <c r="B752"/>
      <c r="C752"/>
    </row>
    <row r="753" spans="2:3" x14ac:dyDescent="0.25">
      <c r="B753"/>
      <c r="C753"/>
    </row>
    <row r="754" spans="2:3" x14ac:dyDescent="0.25">
      <c r="B754"/>
      <c r="C754"/>
    </row>
    <row r="755" spans="2:3" x14ac:dyDescent="0.25">
      <c r="B755"/>
      <c r="C755"/>
    </row>
    <row r="756" spans="2:3" x14ac:dyDescent="0.25">
      <c r="B756"/>
      <c r="C756"/>
    </row>
    <row r="757" spans="2:3" x14ac:dyDescent="0.25">
      <c r="B757"/>
      <c r="C757"/>
    </row>
    <row r="758" spans="2:3" x14ac:dyDescent="0.25">
      <c r="B758"/>
      <c r="C758"/>
    </row>
    <row r="759" spans="2:3" x14ac:dyDescent="0.25">
      <c r="B759"/>
      <c r="C759"/>
    </row>
    <row r="760" spans="2:3" x14ac:dyDescent="0.25">
      <c r="B760"/>
      <c r="C760"/>
    </row>
    <row r="761" spans="2:3" x14ac:dyDescent="0.25">
      <c r="B761"/>
      <c r="C761"/>
    </row>
    <row r="762" spans="2:3" x14ac:dyDescent="0.25">
      <c r="B762"/>
      <c r="C762"/>
    </row>
    <row r="763" spans="2:3" x14ac:dyDescent="0.25">
      <c r="B763"/>
      <c r="C763"/>
    </row>
    <row r="764" spans="2:3" x14ac:dyDescent="0.25">
      <c r="B764"/>
      <c r="C764"/>
    </row>
    <row r="765" spans="2:3" x14ac:dyDescent="0.25">
      <c r="B765"/>
      <c r="C765"/>
    </row>
    <row r="766" spans="2:3" x14ac:dyDescent="0.25">
      <c r="B766"/>
      <c r="C766"/>
    </row>
    <row r="767" spans="2:3" x14ac:dyDescent="0.25">
      <c r="B767"/>
      <c r="C767"/>
    </row>
    <row r="768" spans="2:3" x14ac:dyDescent="0.25">
      <c r="B768"/>
      <c r="C768"/>
    </row>
    <row r="769" spans="2:3" x14ac:dyDescent="0.25">
      <c r="B769"/>
      <c r="C769"/>
    </row>
    <row r="770" spans="2:3" x14ac:dyDescent="0.25">
      <c r="B770"/>
      <c r="C770"/>
    </row>
    <row r="771" spans="2:3" x14ac:dyDescent="0.25">
      <c r="B771"/>
      <c r="C771"/>
    </row>
    <row r="772" spans="2:3" x14ac:dyDescent="0.25">
      <c r="B772"/>
      <c r="C772"/>
    </row>
    <row r="773" spans="2:3" x14ac:dyDescent="0.25">
      <c r="B773"/>
      <c r="C773"/>
    </row>
    <row r="774" spans="2:3" x14ac:dyDescent="0.25">
      <c r="B774"/>
      <c r="C774"/>
    </row>
    <row r="775" spans="2:3" x14ac:dyDescent="0.25">
      <c r="B775"/>
      <c r="C775"/>
    </row>
    <row r="776" spans="2:3" x14ac:dyDescent="0.25">
      <c r="B776"/>
      <c r="C776"/>
    </row>
    <row r="777" spans="2:3" x14ac:dyDescent="0.25">
      <c r="B777"/>
      <c r="C777"/>
    </row>
    <row r="778" spans="2:3" x14ac:dyDescent="0.25">
      <c r="B778"/>
      <c r="C778"/>
    </row>
    <row r="779" spans="2:3" x14ac:dyDescent="0.25">
      <c r="B779"/>
      <c r="C779"/>
    </row>
    <row r="780" spans="2:3" x14ac:dyDescent="0.25">
      <c r="B780"/>
      <c r="C780"/>
    </row>
    <row r="781" spans="2:3" x14ac:dyDescent="0.25">
      <c r="B781"/>
      <c r="C781"/>
    </row>
    <row r="782" spans="2:3" x14ac:dyDescent="0.25">
      <c r="B782"/>
      <c r="C782"/>
    </row>
    <row r="783" spans="2:3" x14ac:dyDescent="0.25">
      <c r="B783"/>
      <c r="C783"/>
    </row>
    <row r="784" spans="2:3" x14ac:dyDescent="0.25">
      <c r="B784"/>
      <c r="C784"/>
    </row>
    <row r="785" spans="2:3" x14ac:dyDescent="0.25">
      <c r="B785"/>
      <c r="C785"/>
    </row>
    <row r="786" spans="2:3" x14ac:dyDescent="0.25">
      <c r="B786"/>
      <c r="C786"/>
    </row>
    <row r="787" spans="2:3" x14ac:dyDescent="0.25">
      <c r="B787"/>
      <c r="C787"/>
    </row>
    <row r="788" spans="2:3" x14ac:dyDescent="0.25">
      <c r="B788"/>
      <c r="C788"/>
    </row>
    <row r="789" spans="2:3" x14ac:dyDescent="0.25">
      <c r="B789"/>
      <c r="C789"/>
    </row>
    <row r="790" spans="2:3" x14ac:dyDescent="0.25">
      <c r="B790"/>
      <c r="C790"/>
    </row>
    <row r="791" spans="2:3" x14ac:dyDescent="0.25">
      <c r="B791"/>
      <c r="C791"/>
    </row>
    <row r="792" spans="2:3" x14ac:dyDescent="0.25">
      <c r="B792"/>
      <c r="C792"/>
    </row>
    <row r="793" spans="2:3" x14ac:dyDescent="0.25">
      <c r="B793"/>
      <c r="C793"/>
    </row>
    <row r="794" spans="2:3" x14ac:dyDescent="0.25">
      <c r="B794"/>
      <c r="C794"/>
    </row>
    <row r="795" spans="2:3" x14ac:dyDescent="0.25">
      <c r="B795"/>
      <c r="C795"/>
    </row>
    <row r="796" spans="2:3" x14ac:dyDescent="0.25">
      <c r="B796"/>
      <c r="C796"/>
    </row>
    <row r="797" spans="2:3" x14ac:dyDescent="0.25">
      <c r="B797"/>
      <c r="C797"/>
    </row>
    <row r="798" spans="2:3" x14ac:dyDescent="0.25">
      <c r="B798"/>
      <c r="C798"/>
    </row>
    <row r="799" spans="2:3" x14ac:dyDescent="0.25">
      <c r="B799"/>
      <c r="C799"/>
    </row>
    <row r="800" spans="2:3" x14ac:dyDescent="0.25">
      <c r="B800"/>
      <c r="C800"/>
    </row>
    <row r="801" spans="2:3" x14ac:dyDescent="0.25">
      <c r="B801"/>
      <c r="C801"/>
    </row>
    <row r="802" spans="2:3" x14ac:dyDescent="0.25">
      <c r="B802"/>
      <c r="C802"/>
    </row>
    <row r="803" spans="2:3" x14ac:dyDescent="0.25">
      <c r="B803"/>
      <c r="C803"/>
    </row>
    <row r="804" spans="2:3" x14ac:dyDescent="0.25">
      <c r="B804"/>
      <c r="C804"/>
    </row>
    <row r="805" spans="2:3" x14ac:dyDescent="0.25">
      <c r="B805"/>
      <c r="C805"/>
    </row>
    <row r="806" spans="2:3" x14ac:dyDescent="0.25">
      <c r="B806"/>
      <c r="C806"/>
    </row>
    <row r="807" spans="2:3" x14ac:dyDescent="0.25">
      <c r="B807"/>
      <c r="C807"/>
    </row>
    <row r="808" spans="2:3" x14ac:dyDescent="0.25">
      <c r="B808"/>
      <c r="C808"/>
    </row>
    <row r="809" spans="2:3" x14ac:dyDescent="0.25">
      <c r="B809"/>
      <c r="C809"/>
    </row>
    <row r="810" spans="2:3" x14ac:dyDescent="0.25">
      <c r="B810"/>
      <c r="C810"/>
    </row>
    <row r="811" spans="2:3" x14ac:dyDescent="0.25">
      <c r="B811"/>
      <c r="C811"/>
    </row>
    <row r="812" spans="2:3" x14ac:dyDescent="0.25">
      <c r="B812"/>
      <c r="C812"/>
    </row>
    <row r="813" spans="2:3" x14ac:dyDescent="0.25">
      <c r="B813"/>
      <c r="C813"/>
    </row>
    <row r="814" spans="2:3" x14ac:dyDescent="0.25">
      <c r="B814"/>
      <c r="C814"/>
    </row>
    <row r="815" spans="2:3" x14ac:dyDescent="0.25">
      <c r="B815"/>
      <c r="C815"/>
    </row>
    <row r="816" spans="2:3" x14ac:dyDescent="0.25">
      <c r="B816"/>
      <c r="C816"/>
    </row>
    <row r="817" spans="2:3" x14ac:dyDescent="0.25">
      <c r="B817"/>
      <c r="C817"/>
    </row>
    <row r="818" spans="2:3" x14ac:dyDescent="0.25">
      <c r="B818"/>
      <c r="C818"/>
    </row>
    <row r="819" spans="2:3" x14ac:dyDescent="0.25">
      <c r="B819"/>
      <c r="C819"/>
    </row>
    <row r="820" spans="2:3" x14ac:dyDescent="0.25">
      <c r="B820"/>
      <c r="C820"/>
    </row>
    <row r="821" spans="2:3" x14ac:dyDescent="0.25">
      <c r="B821"/>
      <c r="C821"/>
    </row>
    <row r="822" spans="2:3" x14ac:dyDescent="0.25">
      <c r="B822"/>
      <c r="C822"/>
    </row>
    <row r="823" spans="2:3" x14ac:dyDescent="0.25">
      <c r="B823"/>
      <c r="C823"/>
    </row>
    <row r="824" spans="2:3" x14ac:dyDescent="0.25">
      <c r="B824"/>
      <c r="C824"/>
    </row>
    <row r="825" spans="2:3" x14ac:dyDescent="0.25">
      <c r="B825"/>
      <c r="C825"/>
    </row>
    <row r="826" spans="2:3" x14ac:dyDescent="0.25">
      <c r="B826"/>
      <c r="C826"/>
    </row>
    <row r="827" spans="2:3" x14ac:dyDescent="0.25">
      <c r="B827"/>
      <c r="C827"/>
    </row>
    <row r="828" spans="2:3" x14ac:dyDescent="0.25">
      <c r="B828"/>
      <c r="C828"/>
    </row>
    <row r="829" spans="2:3" x14ac:dyDescent="0.25">
      <c r="B829"/>
      <c r="C829"/>
    </row>
    <row r="830" spans="2:3" x14ac:dyDescent="0.25">
      <c r="B830"/>
      <c r="C830"/>
    </row>
    <row r="831" spans="2:3" x14ac:dyDescent="0.25">
      <c r="B831"/>
      <c r="C831"/>
    </row>
    <row r="832" spans="2:3" x14ac:dyDescent="0.25">
      <c r="B832"/>
      <c r="C832"/>
    </row>
    <row r="833" spans="2:3" x14ac:dyDescent="0.25">
      <c r="B833"/>
      <c r="C833"/>
    </row>
    <row r="834" spans="2:3" x14ac:dyDescent="0.25">
      <c r="B834"/>
      <c r="C834"/>
    </row>
    <row r="835" spans="2:3" x14ac:dyDescent="0.25">
      <c r="B835"/>
      <c r="C835"/>
    </row>
    <row r="836" spans="2:3" x14ac:dyDescent="0.25">
      <c r="B836"/>
      <c r="C836"/>
    </row>
    <row r="837" spans="2:3" x14ac:dyDescent="0.25">
      <c r="B837"/>
      <c r="C837"/>
    </row>
    <row r="838" spans="2:3" x14ac:dyDescent="0.25">
      <c r="B838"/>
      <c r="C838"/>
    </row>
    <row r="839" spans="2:3" x14ac:dyDescent="0.25">
      <c r="B839"/>
      <c r="C839"/>
    </row>
    <row r="840" spans="2:3" x14ac:dyDescent="0.25">
      <c r="B840"/>
      <c r="C840"/>
    </row>
    <row r="841" spans="2:3" x14ac:dyDescent="0.25">
      <c r="B841"/>
      <c r="C841"/>
    </row>
    <row r="842" spans="2:3" x14ac:dyDescent="0.25">
      <c r="B842"/>
      <c r="C842"/>
    </row>
    <row r="843" spans="2:3" x14ac:dyDescent="0.25">
      <c r="B843"/>
      <c r="C843"/>
    </row>
    <row r="844" spans="2:3" x14ac:dyDescent="0.25">
      <c r="B844"/>
      <c r="C844"/>
    </row>
    <row r="845" spans="2:3" x14ac:dyDescent="0.25">
      <c r="B845"/>
      <c r="C845"/>
    </row>
    <row r="846" spans="2:3" x14ac:dyDescent="0.25">
      <c r="B846"/>
      <c r="C846"/>
    </row>
    <row r="847" spans="2:3" x14ac:dyDescent="0.25">
      <c r="B847"/>
      <c r="C847"/>
    </row>
    <row r="848" spans="2:3" x14ac:dyDescent="0.25">
      <c r="B848"/>
      <c r="C848"/>
    </row>
    <row r="849" spans="2:3" x14ac:dyDescent="0.25">
      <c r="B849"/>
      <c r="C849"/>
    </row>
    <row r="850" spans="2:3" x14ac:dyDescent="0.25">
      <c r="B850"/>
      <c r="C850"/>
    </row>
    <row r="851" spans="2:3" x14ac:dyDescent="0.25">
      <c r="B851"/>
      <c r="C851"/>
    </row>
    <row r="852" spans="2:3" x14ac:dyDescent="0.25">
      <c r="B852"/>
      <c r="C852"/>
    </row>
    <row r="853" spans="2:3" x14ac:dyDescent="0.25">
      <c r="B853"/>
      <c r="C853"/>
    </row>
    <row r="854" spans="2:3" x14ac:dyDescent="0.25">
      <c r="B854"/>
      <c r="C854"/>
    </row>
    <row r="855" spans="2:3" x14ac:dyDescent="0.25">
      <c r="B855"/>
      <c r="C855"/>
    </row>
    <row r="856" spans="2:3" x14ac:dyDescent="0.25">
      <c r="B856"/>
      <c r="C856"/>
    </row>
    <row r="857" spans="2:3" x14ac:dyDescent="0.25">
      <c r="B857"/>
      <c r="C857"/>
    </row>
    <row r="858" spans="2:3" x14ac:dyDescent="0.25">
      <c r="B858"/>
      <c r="C858"/>
    </row>
    <row r="859" spans="2:3" x14ac:dyDescent="0.25">
      <c r="B859"/>
      <c r="C859"/>
    </row>
    <row r="860" spans="2:3" x14ac:dyDescent="0.25">
      <c r="B860"/>
      <c r="C860"/>
    </row>
    <row r="861" spans="2:3" x14ac:dyDescent="0.25">
      <c r="B861"/>
      <c r="C861"/>
    </row>
    <row r="862" spans="2:3" x14ac:dyDescent="0.25">
      <c r="B862"/>
      <c r="C862"/>
    </row>
    <row r="863" spans="2:3" x14ac:dyDescent="0.25">
      <c r="B863"/>
      <c r="C863"/>
    </row>
    <row r="864" spans="2:3" x14ac:dyDescent="0.25">
      <c r="B864"/>
      <c r="C864"/>
    </row>
    <row r="865" spans="2:3" x14ac:dyDescent="0.25">
      <c r="B865"/>
      <c r="C865"/>
    </row>
    <row r="866" spans="2:3" x14ac:dyDescent="0.25">
      <c r="B866"/>
      <c r="C866"/>
    </row>
    <row r="867" spans="2:3" x14ac:dyDescent="0.25">
      <c r="B867"/>
      <c r="C867"/>
    </row>
    <row r="868" spans="2:3" x14ac:dyDescent="0.25">
      <c r="B868"/>
      <c r="C868"/>
    </row>
    <row r="869" spans="2:3" x14ac:dyDescent="0.25">
      <c r="B869"/>
      <c r="C869"/>
    </row>
    <row r="870" spans="2:3" x14ac:dyDescent="0.25">
      <c r="B870"/>
      <c r="C870"/>
    </row>
    <row r="871" spans="2:3" x14ac:dyDescent="0.25">
      <c r="B871"/>
      <c r="C871"/>
    </row>
    <row r="872" spans="2:3" x14ac:dyDescent="0.25">
      <c r="B872"/>
      <c r="C872"/>
    </row>
    <row r="873" spans="2:3" x14ac:dyDescent="0.25">
      <c r="B873"/>
      <c r="C873"/>
    </row>
    <row r="874" spans="2:3" x14ac:dyDescent="0.25">
      <c r="B874"/>
      <c r="C874"/>
    </row>
    <row r="875" spans="2:3" x14ac:dyDescent="0.25">
      <c r="B875"/>
      <c r="C875"/>
    </row>
    <row r="876" spans="2:3" x14ac:dyDescent="0.25">
      <c r="B876"/>
      <c r="C876"/>
    </row>
    <row r="877" spans="2:3" x14ac:dyDescent="0.25">
      <c r="B877"/>
      <c r="C877"/>
    </row>
    <row r="878" spans="2:3" x14ac:dyDescent="0.25">
      <c r="B878"/>
      <c r="C878"/>
    </row>
    <row r="879" spans="2:3" x14ac:dyDescent="0.25">
      <c r="B879"/>
      <c r="C879"/>
    </row>
    <row r="880" spans="2:3" x14ac:dyDescent="0.25">
      <c r="B880"/>
      <c r="C880"/>
    </row>
    <row r="881" spans="2:3" x14ac:dyDescent="0.25">
      <c r="B881"/>
      <c r="C881"/>
    </row>
    <row r="882" spans="2:3" x14ac:dyDescent="0.25">
      <c r="B882"/>
      <c r="C882"/>
    </row>
    <row r="883" spans="2:3" x14ac:dyDescent="0.25">
      <c r="B883"/>
      <c r="C883"/>
    </row>
    <row r="884" spans="2:3" x14ac:dyDescent="0.25">
      <c r="B884"/>
      <c r="C884"/>
    </row>
    <row r="885" spans="2:3" x14ac:dyDescent="0.25">
      <c r="B885"/>
      <c r="C885"/>
    </row>
    <row r="886" spans="2:3" x14ac:dyDescent="0.25">
      <c r="B886"/>
      <c r="C886"/>
    </row>
    <row r="887" spans="2:3" x14ac:dyDescent="0.25">
      <c r="B887"/>
      <c r="C887"/>
    </row>
    <row r="888" spans="2:3" x14ac:dyDescent="0.25">
      <c r="B888"/>
      <c r="C888"/>
    </row>
    <row r="889" spans="2:3" x14ac:dyDescent="0.25">
      <c r="B889"/>
      <c r="C889"/>
    </row>
    <row r="890" spans="2:3" x14ac:dyDescent="0.25">
      <c r="B890"/>
      <c r="C890"/>
    </row>
    <row r="891" spans="2:3" x14ac:dyDescent="0.25">
      <c r="B891"/>
      <c r="C891"/>
    </row>
    <row r="892" spans="2:3" x14ac:dyDescent="0.25">
      <c r="B892"/>
      <c r="C892"/>
    </row>
    <row r="893" spans="2:3" x14ac:dyDescent="0.25">
      <c r="B893"/>
      <c r="C893"/>
    </row>
    <row r="894" spans="2:3" x14ac:dyDescent="0.25">
      <c r="B894"/>
      <c r="C894"/>
    </row>
    <row r="895" spans="2:3" x14ac:dyDescent="0.25">
      <c r="B895"/>
      <c r="C895"/>
    </row>
    <row r="896" spans="2:3" x14ac:dyDescent="0.25">
      <c r="B896"/>
      <c r="C896"/>
    </row>
    <row r="897" spans="2:3" x14ac:dyDescent="0.25">
      <c r="B897"/>
      <c r="C897"/>
    </row>
    <row r="898" spans="2:3" x14ac:dyDescent="0.25">
      <c r="B898"/>
      <c r="C898"/>
    </row>
    <row r="899" spans="2:3" x14ac:dyDescent="0.25">
      <c r="B899"/>
      <c r="C899"/>
    </row>
    <row r="900" spans="2:3" x14ac:dyDescent="0.25">
      <c r="B900"/>
      <c r="C900"/>
    </row>
    <row r="901" spans="2:3" x14ac:dyDescent="0.25">
      <c r="B901"/>
      <c r="C901"/>
    </row>
    <row r="902" spans="2:3" x14ac:dyDescent="0.25">
      <c r="B902"/>
      <c r="C902"/>
    </row>
    <row r="903" spans="2:3" x14ac:dyDescent="0.25">
      <c r="B903"/>
      <c r="C903"/>
    </row>
    <row r="904" spans="2:3" x14ac:dyDescent="0.25">
      <c r="B904"/>
      <c r="C904"/>
    </row>
    <row r="905" spans="2:3" x14ac:dyDescent="0.25">
      <c r="B905"/>
      <c r="C905"/>
    </row>
    <row r="906" spans="2:3" x14ac:dyDescent="0.25">
      <c r="B906"/>
      <c r="C906"/>
    </row>
    <row r="907" spans="2:3" x14ac:dyDescent="0.25">
      <c r="B907"/>
      <c r="C907"/>
    </row>
    <row r="908" spans="2:3" x14ac:dyDescent="0.25">
      <c r="B908"/>
      <c r="C908"/>
    </row>
    <row r="909" spans="2:3" x14ac:dyDescent="0.25">
      <c r="B909"/>
      <c r="C909"/>
    </row>
    <row r="910" spans="2:3" x14ac:dyDescent="0.25">
      <c r="B910"/>
      <c r="C910"/>
    </row>
    <row r="911" spans="2:3" x14ac:dyDescent="0.25">
      <c r="B911"/>
      <c r="C911"/>
    </row>
    <row r="912" spans="2:3" x14ac:dyDescent="0.25">
      <c r="B912"/>
      <c r="C912"/>
    </row>
    <row r="913" spans="2:3" x14ac:dyDescent="0.25">
      <c r="B913"/>
      <c r="C913"/>
    </row>
    <row r="914" spans="2:3" x14ac:dyDescent="0.25">
      <c r="B914"/>
      <c r="C914"/>
    </row>
    <row r="915" spans="2:3" x14ac:dyDescent="0.25">
      <c r="B915"/>
      <c r="C915"/>
    </row>
    <row r="916" spans="2:3" x14ac:dyDescent="0.25">
      <c r="B916"/>
      <c r="C916"/>
    </row>
    <row r="917" spans="2:3" x14ac:dyDescent="0.25">
      <c r="B917"/>
      <c r="C917"/>
    </row>
    <row r="918" spans="2:3" x14ac:dyDescent="0.25">
      <c r="B918"/>
      <c r="C918"/>
    </row>
    <row r="919" spans="2:3" x14ac:dyDescent="0.25">
      <c r="B919"/>
      <c r="C919"/>
    </row>
    <row r="920" spans="2:3" x14ac:dyDescent="0.25">
      <c r="B920"/>
      <c r="C920"/>
    </row>
    <row r="921" spans="2:3" x14ac:dyDescent="0.25">
      <c r="B921"/>
      <c r="C921"/>
    </row>
    <row r="922" spans="2:3" x14ac:dyDescent="0.25">
      <c r="B922"/>
      <c r="C922"/>
    </row>
    <row r="923" spans="2:3" x14ac:dyDescent="0.25">
      <c r="B923"/>
      <c r="C923"/>
    </row>
    <row r="924" spans="2:3" x14ac:dyDescent="0.25">
      <c r="B924"/>
      <c r="C924"/>
    </row>
    <row r="925" spans="2:3" x14ac:dyDescent="0.25">
      <c r="B925"/>
      <c r="C925"/>
    </row>
    <row r="926" spans="2:3" x14ac:dyDescent="0.25">
      <c r="B926"/>
      <c r="C926"/>
    </row>
    <row r="927" spans="2:3" x14ac:dyDescent="0.25">
      <c r="B927"/>
      <c r="C927"/>
    </row>
    <row r="928" spans="2:3" x14ac:dyDescent="0.25">
      <c r="B928"/>
      <c r="C928"/>
    </row>
    <row r="929" spans="2:3" x14ac:dyDescent="0.25">
      <c r="B929"/>
      <c r="C929"/>
    </row>
    <row r="930" spans="2:3" x14ac:dyDescent="0.25">
      <c r="B930"/>
      <c r="C930"/>
    </row>
    <row r="931" spans="2:3" x14ac:dyDescent="0.25">
      <c r="B931"/>
      <c r="C931"/>
    </row>
    <row r="932" spans="2:3" x14ac:dyDescent="0.25">
      <c r="B932"/>
      <c r="C932"/>
    </row>
    <row r="933" spans="2:3" x14ac:dyDescent="0.25">
      <c r="B933"/>
      <c r="C933"/>
    </row>
    <row r="934" spans="2:3" x14ac:dyDescent="0.25">
      <c r="B934"/>
      <c r="C934"/>
    </row>
    <row r="935" spans="2:3" x14ac:dyDescent="0.25">
      <c r="B935"/>
      <c r="C935"/>
    </row>
    <row r="936" spans="2:3" x14ac:dyDescent="0.25">
      <c r="B936"/>
      <c r="C936"/>
    </row>
    <row r="937" spans="2:3" x14ac:dyDescent="0.25">
      <c r="B937"/>
      <c r="C937"/>
    </row>
    <row r="938" spans="2:3" x14ac:dyDescent="0.25">
      <c r="B938"/>
      <c r="C938"/>
    </row>
    <row r="939" spans="2:3" x14ac:dyDescent="0.25">
      <c r="B939"/>
      <c r="C939"/>
    </row>
    <row r="940" spans="2:3" x14ac:dyDescent="0.25">
      <c r="B940"/>
      <c r="C940"/>
    </row>
    <row r="941" spans="2:3" x14ac:dyDescent="0.25">
      <c r="B941"/>
      <c r="C941"/>
    </row>
    <row r="942" spans="2:3" x14ac:dyDescent="0.25">
      <c r="B942"/>
      <c r="C942"/>
    </row>
    <row r="943" spans="2:3" x14ac:dyDescent="0.25">
      <c r="B943"/>
      <c r="C943"/>
    </row>
    <row r="944" spans="2:3" x14ac:dyDescent="0.25">
      <c r="B944"/>
      <c r="C944"/>
    </row>
    <row r="945" spans="2:3" x14ac:dyDescent="0.25">
      <c r="B945"/>
      <c r="C945"/>
    </row>
    <row r="946" spans="2:3" x14ac:dyDescent="0.25">
      <c r="B946"/>
      <c r="C946"/>
    </row>
    <row r="947" spans="2:3" x14ac:dyDescent="0.25">
      <c r="B947"/>
      <c r="C947"/>
    </row>
    <row r="948" spans="2:3" x14ac:dyDescent="0.25">
      <c r="B948"/>
      <c r="C948"/>
    </row>
    <row r="949" spans="2:3" x14ac:dyDescent="0.25">
      <c r="B949"/>
      <c r="C949"/>
    </row>
    <row r="950" spans="2:3" x14ac:dyDescent="0.25">
      <c r="B950"/>
      <c r="C950"/>
    </row>
    <row r="951" spans="2:3" x14ac:dyDescent="0.25">
      <c r="B951"/>
      <c r="C951"/>
    </row>
    <row r="952" spans="2:3" x14ac:dyDescent="0.25">
      <c r="B952"/>
      <c r="C952"/>
    </row>
    <row r="953" spans="2:3" x14ac:dyDescent="0.25">
      <c r="B953"/>
      <c r="C953"/>
    </row>
    <row r="954" spans="2:3" x14ac:dyDescent="0.25">
      <c r="B954"/>
      <c r="C954"/>
    </row>
    <row r="955" spans="2:3" x14ac:dyDescent="0.25">
      <c r="B955"/>
      <c r="C955"/>
    </row>
    <row r="956" spans="2:3" x14ac:dyDescent="0.25">
      <c r="B956"/>
      <c r="C956"/>
    </row>
    <row r="957" spans="2:3" x14ac:dyDescent="0.25">
      <c r="B957"/>
      <c r="C957"/>
    </row>
    <row r="958" spans="2:3" x14ac:dyDescent="0.25">
      <c r="B958"/>
      <c r="C958"/>
    </row>
    <row r="959" spans="2:3" x14ac:dyDescent="0.25">
      <c r="B959"/>
      <c r="C959"/>
    </row>
    <row r="960" spans="2:3" x14ac:dyDescent="0.25">
      <c r="B960"/>
      <c r="C960"/>
    </row>
    <row r="961" spans="2:3" x14ac:dyDescent="0.25">
      <c r="B961"/>
      <c r="C961"/>
    </row>
    <row r="962" spans="2:3" x14ac:dyDescent="0.25">
      <c r="B962"/>
      <c r="C962"/>
    </row>
    <row r="963" spans="2:3" x14ac:dyDescent="0.25">
      <c r="B963"/>
      <c r="C963"/>
    </row>
    <row r="964" spans="2:3" x14ac:dyDescent="0.25">
      <c r="B964"/>
      <c r="C964"/>
    </row>
    <row r="965" spans="2:3" x14ac:dyDescent="0.25">
      <c r="B965"/>
      <c r="C965"/>
    </row>
    <row r="966" spans="2:3" x14ac:dyDescent="0.25">
      <c r="B966"/>
      <c r="C966"/>
    </row>
    <row r="967" spans="2:3" x14ac:dyDescent="0.25">
      <c r="B967"/>
      <c r="C967"/>
    </row>
    <row r="968" spans="2:3" x14ac:dyDescent="0.25">
      <c r="B968"/>
      <c r="C968"/>
    </row>
    <row r="969" spans="2:3" x14ac:dyDescent="0.25">
      <c r="B969"/>
      <c r="C969"/>
    </row>
    <row r="970" spans="2:3" x14ac:dyDescent="0.25">
      <c r="B970"/>
      <c r="C970"/>
    </row>
    <row r="971" spans="2:3" x14ac:dyDescent="0.25">
      <c r="B971"/>
      <c r="C971"/>
    </row>
    <row r="972" spans="2:3" x14ac:dyDescent="0.25">
      <c r="B972"/>
      <c r="C972"/>
    </row>
    <row r="973" spans="2:3" x14ac:dyDescent="0.25">
      <c r="B973"/>
      <c r="C973"/>
    </row>
    <row r="974" spans="2:3" x14ac:dyDescent="0.25">
      <c r="B974"/>
      <c r="C974"/>
    </row>
    <row r="975" spans="2:3" x14ac:dyDescent="0.25">
      <c r="B975"/>
      <c r="C975"/>
    </row>
    <row r="976" spans="2:3" x14ac:dyDescent="0.25">
      <c r="B976"/>
      <c r="C976"/>
    </row>
    <row r="977" spans="2:3" x14ac:dyDescent="0.25">
      <c r="B977"/>
      <c r="C977"/>
    </row>
    <row r="978" spans="2:3" x14ac:dyDescent="0.25">
      <c r="B978"/>
      <c r="C978"/>
    </row>
    <row r="979" spans="2:3" x14ac:dyDescent="0.25">
      <c r="B979"/>
      <c r="C979"/>
    </row>
    <row r="980" spans="2:3" x14ac:dyDescent="0.25">
      <c r="B980"/>
      <c r="C980"/>
    </row>
    <row r="981" spans="2:3" x14ac:dyDescent="0.25">
      <c r="B981"/>
      <c r="C981"/>
    </row>
    <row r="982" spans="2:3" x14ac:dyDescent="0.25">
      <c r="B982"/>
      <c r="C982"/>
    </row>
    <row r="983" spans="2:3" x14ac:dyDescent="0.25">
      <c r="B983"/>
      <c r="C983"/>
    </row>
    <row r="984" spans="2:3" x14ac:dyDescent="0.25">
      <c r="B984"/>
      <c r="C984"/>
    </row>
    <row r="985" spans="2:3" x14ac:dyDescent="0.25">
      <c r="B985"/>
      <c r="C985"/>
    </row>
    <row r="986" spans="2:3" x14ac:dyDescent="0.25">
      <c r="B986"/>
      <c r="C986"/>
    </row>
    <row r="987" spans="2:3" x14ac:dyDescent="0.25">
      <c r="B987"/>
      <c r="C987"/>
    </row>
    <row r="988" spans="2:3" x14ac:dyDescent="0.25">
      <c r="B988"/>
      <c r="C988"/>
    </row>
    <row r="989" spans="2:3" x14ac:dyDescent="0.25">
      <c r="B989"/>
      <c r="C989"/>
    </row>
    <row r="990" spans="2:3" x14ac:dyDescent="0.25">
      <c r="B990"/>
      <c r="C990"/>
    </row>
    <row r="991" spans="2:3" x14ac:dyDescent="0.25">
      <c r="B991"/>
      <c r="C991"/>
    </row>
    <row r="992" spans="2:3" x14ac:dyDescent="0.25">
      <c r="B992"/>
      <c r="C992"/>
    </row>
    <row r="993" spans="2:3" x14ac:dyDescent="0.25">
      <c r="B993"/>
      <c r="C993"/>
    </row>
    <row r="994" spans="2:3" x14ac:dyDescent="0.25">
      <c r="B994"/>
      <c r="C994"/>
    </row>
    <row r="995" spans="2:3" x14ac:dyDescent="0.25">
      <c r="B995"/>
      <c r="C995"/>
    </row>
    <row r="996" spans="2:3" x14ac:dyDescent="0.25">
      <c r="B996"/>
      <c r="C996"/>
    </row>
    <row r="997" spans="2:3" x14ac:dyDescent="0.25">
      <c r="B997"/>
      <c r="C997"/>
    </row>
    <row r="998" spans="2:3" x14ac:dyDescent="0.25">
      <c r="B998"/>
      <c r="C998"/>
    </row>
    <row r="999" spans="2:3" x14ac:dyDescent="0.25">
      <c r="B999"/>
      <c r="C999"/>
    </row>
    <row r="1000" spans="2:3" x14ac:dyDescent="0.25">
      <c r="B1000"/>
      <c r="C1000"/>
    </row>
    <row r="1001" spans="2:3" x14ac:dyDescent="0.25">
      <c r="B1001"/>
      <c r="C1001"/>
    </row>
    <row r="1002" spans="2:3" x14ac:dyDescent="0.25">
      <c r="B1002"/>
      <c r="C1002"/>
    </row>
    <row r="1003" spans="2:3" x14ac:dyDescent="0.25">
      <c r="B1003"/>
      <c r="C1003"/>
    </row>
    <row r="1004" spans="2:3" x14ac:dyDescent="0.25">
      <c r="B1004"/>
      <c r="C1004"/>
    </row>
    <row r="1005" spans="2:3" x14ac:dyDescent="0.25">
      <c r="B1005"/>
      <c r="C1005"/>
    </row>
    <row r="1006" spans="2:3" x14ac:dyDescent="0.25">
      <c r="B1006"/>
      <c r="C1006"/>
    </row>
    <row r="1007" spans="2:3" x14ac:dyDescent="0.25">
      <c r="B1007"/>
      <c r="C1007"/>
    </row>
    <row r="1008" spans="2:3" x14ac:dyDescent="0.25">
      <c r="B1008"/>
      <c r="C1008"/>
    </row>
    <row r="1009" spans="2:3" x14ac:dyDescent="0.25">
      <c r="B1009"/>
      <c r="C1009"/>
    </row>
    <row r="1010" spans="2:3" x14ac:dyDescent="0.25">
      <c r="B1010"/>
      <c r="C1010"/>
    </row>
    <row r="1011" spans="2:3" x14ac:dyDescent="0.25">
      <c r="B1011"/>
      <c r="C1011"/>
    </row>
    <row r="1012" spans="2:3" x14ac:dyDescent="0.25">
      <c r="B1012"/>
      <c r="C1012"/>
    </row>
    <row r="1013" spans="2:3" x14ac:dyDescent="0.25">
      <c r="B1013"/>
      <c r="C1013"/>
    </row>
    <row r="1014" spans="2:3" x14ac:dyDescent="0.25">
      <c r="B1014"/>
      <c r="C1014"/>
    </row>
    <row r="1015" spans="2:3" x14ac:dyDescent="0.25">
      <c r="B1015"/>
      <c r="C1015"/>
    </row>
    <row r="1016" spans="2:3" x14ac:dyDescent="0.25">
      <c r="B1016"/>
      <c r="C1016"/>
    </row>
    <row r="1017" spans="2:3" x14ac:dyDescent="0.25">
      <c r="B1017"/>
      <c r="C1017"/>
    </row>
    <row r="1018" spans="2:3" x14ac:dyDescent="0.25">
      <c r="B1018"/>
      <c r="C1018"/>
    </row>
    <row r="1019" spans="2:3" x14ac:dyDescent="0.25">
      <c r="B1019"/>
      <c r="C1019"/>
    </row>
    <row r="1020" spans="2:3" x14ac:dyDescent="0.25">
      <c r="B1020"/>
      <c r="C1020"/>
    </row>
    <row r="1021" spans="2:3" x14ac:dyDescent="0.25">
      <c r="B1021"/>
      <c r="C1021"/>
    </row>
    <row r="1022" spans="2:3" x14ac:dyDescent="0.25">
      <c r="B1022"/>
      <c r="C1022"/>
    </row>
    <row r="1023" spans="2:3" x14ac:dyDescent="0.25">
      <c r="B1023"/>
      <c r="C1023"/>
    </row>
    <row r="1024" spans="2:3" x14ac:dyDescent="0.25">
      <c r="B1024"/>
      <c r="C1024"/>
    </row>
    <row r="1025" spans="2:3" x14ac:dyDescent="0.25">
      <c r="B1025"/>
      <c r="C1025"/>
    </row>
    <row r="1026" spans="2:3" x14ac:dyDescent="0.25">
      <c r="B1026"/>
      <c r="C1026"/>
    </row>
    <row r="1027" spans="2:3" x14ac:dyDescent="0.25">
      <c r="B1027"/>
      <c r="C1027"/>
    </row>
    <row r="1028" spans="2:3" x14ac:dyDescent="0.25">
      <c r="B1028"/>
      <c r="C1028"/>
    </row>
    <row r="1029" spans="2:3" x14ac:dyDescent="0.25">
      <c r="B1029"/>
      <c r="C1029"/>
    </row>
    <row r="1030" spans="2:3" x14ac:dyDescent="0.25">
      <c r="B1030"/>
      <c r="C1030"/>
    </row>
    <row r="1031" spans="2:3" x14ac:dyDescent="0.25">
      <c r="B1031"/>
      <c r="C1031"/>
    </row>
    <row r="1032" spans="2:3" x14ac:dyDescent="0.25">
      <c r="B1032"/>
      <c r="C1032"/>
    </row>
    <row r="1033" spans="2:3" x14ac:dyDescent="0.25">
      <c r="B1033"/>
      <c r="C1033"/>
    </row>
    <row r="1034" spans="2:3" x14ac:dyDescent="0.25">
      <c r="B1034"/>
      <c r="C1034"/>
    </row>
    <row r="1035" spans="2:3" x14ac:dyDescent="0.25">
      <c r="B1035"/>
      <c r="C1035"/>
    </row>
    <row r="1036" spans="2:3" x14ac:dyDescent="0.25">
      <c r="B1036"/>
      <c r="C1036"/>
    </row>
    <row r="1037" spans="2:3" x14ac:dyDescent="0.25">
      <c r="B1037"/>
      <c r="C1037"/>
    </row>
    <row r="1038" spans="2:3" x14ac:dyDescent="0.25">
      <c r="B1038"/>
      <c r="C1038"/>
    </row>
    <row r="1039" spans="2:3" x14ac:dyDescent="0.25">
      <c r="B1039"/>
      <c r="C1039"/>
    </row>
    <row r="1040" spans="2:3" x14ac:dyDescent="0.25">
      <c r="B1040"/>
      <c r="C1040"/>
    </row>
    <row r="1041" spans="2:3" x14ac:dyDescent="0.25">
      <c r="B1041"/>
      <c r="C1041"/>
    </row>
    <row r="1042" spans="2:3" x14ac:dyDescent="0.25">
      <c r="B1042"/>
      <c r="C1042"/>
    </row>
    <row r="1043" spans="2:3" x14ac:dyDescent="0.25">
      <c r="B1043"/>
      <c r="C1043"/>
    </row>
    <row r="1044" spans="2:3" x14ac:dyDescent="0.25">
      <c r="B1044"/>
      <c r="C1044"/>
    </row>
    <row r="1045" spans="2:3" x14ac:dyDescent="0.25">
      <c r="B1045"/>
      <c r="C1045"/>
    </row>
    <row r="1046" spans="2:3" x14ac:dyDescent="0.25">
      <c r="B1046"/>
      <c r="C1046"/>
    </row>
    <row r="1047" spans="2:3" x14ac:dyDescent="0.25">
      <c r="B1047"/>
      <c r="C1047"/>
    </row>
    <row r="1048" spans="2:3" x14ac:dyDescent="0.25">
      <c r="B1048"/>
      <c r="C1048"/>
    </row>
    <row r="1049" spans="2:3" x14ac:dyDescent="0.25">
      <c r="B1049"/>
      <c r="C1049"/>
    </row>
    <row r="1050" spans="2:3" x14ac:dyDescent="0.25">
      <c r="B1050"/>
      <c r="C1050"/>
    </row>
    <row r="1051" spans="2:3" x14ac:dyDescent="0.25">
      <c r="B1051"/>
      <c r="C1051"/>
    </row>
    <row r="1052" spans="2:3" x14ac:dyDescent="0.25">
      <c r="B1052"/>
      <c r="C1052"/>
    </row>
    <row r="1053" spans="2:3" x14ac:dyDescent="0.25">
      <c r="B1053"/>
      <c r="C1053"/>
    </row>
    <row r="1054" spans="2:3" x14ac:dyDescent="0.25">
      <c r="B1054"/>
      <c r="C1054"/>
    </row>
    <row r="1055" spans="2:3" x14ac:dyDescent="0.25">
      <c r="B1055"/>
      <c r="C1055"/>
    </row>
    <row r="1056" spans="2:3" x14ac:dyDescent="0.25">
      <c r="B1056"/>
      <c r="C1056"/>
    </row>
    <row r="1057" spans="2:3" x14ac:dyDescent="0.25">
      <c r="B1057"/>
      <c r="C1057"/>
    </row>
    <row r="1058" spans="2:3" x14ac:dyDescent="0.25">
      <c r="B1058"/>
      <c r="C1058"/>
    </row>
    <row r="1059" spans="2:3" x14ac:dyDescent="0.25">
      <c r="B1059"/>
      <c r="C1059"/>
    </row>
    <row r="1060" spans="2:3" x14ac:dyDescent="0.25">
      <c r="B1060"/>
      <c r="C1060"/>
    </row>
    <row r="1061" spans="2:3" x14ac:dyDescent="0.25">
      <c r="B1061"/>
      <c r="C1061"/>
    </row>
    <row r="1062" spans="2:3" x14ac:dyDescent="0.25">
      <c r="B1062"/>
      <c r="C1062"/>
    </row>
    <row r="1063" spans="2:3" x14ac:dyDescent="0.25">
      <c r="B1063"/>
      <c r="C1063"/>
    </row>
    <row r="1064" spans="2:3" x14ac:dyDescent="0.25">
      <c r="B1064"/>
      <c r="C1064"/>
    </row>
    <row r="1065" spans="2:3" x14ac:dyDescent="0.25">
      <c r="B1065"/>
      <c r="C1065"/>
    </row>
    <row r="1066" spans="2:3" x14ac:dyDescent="0.25">
      <c r="B1066"/>
      <c r="C1066"/>
    </row>
    <row r="1067" spans="2:3" x14ac:dyDescent="0.25">
      <c r="B1067"/>
      <c r="C1067"/>
    </row>
    <row r="1068" spans="2:3" x14ac:dyDescent="0.25">
      <c r="B1068"/>
      <c r="C1068"/>
    </row>
    <row r="1069" spans="2:3" x14ac:dyDescent="0.25">
      <c r="B1069"/>
      <c r="C1069"/>
    </row>
    <row r="1070" spans="2:3" x14ac:dyDescent="0.25">
      <c r="B1070"/>
      <c r="C1070"/>
    </row>
    <row r="1071" spans="2:3" x14ac:dyDescent="0.25">
      <c r="B1071"/>
      <c r="C1071"/>
    </row>
    <row r="1072" spans="2:3" x14ac:dyDescent="0.25">
      <c r="B1072"/>
      <c r="C1072"/>
    </row>
    <row r="1073" spans="2:3" x14ac:dyDescent="0.25">
      <c r="B1073"/>
      <c r="C1073"/>
    </row>
    <row r="1074" spans="2:3" x14ac:dyDescent="0.25">
      <c r="B1074"/>
      <c r="C1074"/>
    </row>
    <row r="1075" spans="2:3" x14ac:dyDescent="0.25">
      <c r="B1075"/>
      <c r="C1075"/>
    </row>
    <row r="1076" spans="2:3" x14ac:dyDescent="0.25">
      <c r="B1076"/>
      <c r="C1076"/>
    </row>
    <row r="1077" spans="2:3" x14ac:dyDescent="0.25">
      <c r="B1077"/>
      <c r="C1077"/>
    </row>
    <row r="1078" spans="2:3" x14ac:dyDescent="0.25">
      <c r="B1078"/>
      <c r="C1078"/>
    </row>
    <row r="1079" spans="2:3" x14ac:dyDescent="0.25">
      <c r="B1079"/>
      <c r="C1079"/>
    </row>
    <row r="1080" spans="2:3" x14ac:dyDescent="0.25">
      <c r="B1080"/>
      <c r="C1080"/>
    </row>
    <row r="1081" spans="2:3" x14ac:dyDescent="0.25">
      <c r="B1081"/>
      <c r="C1081"/>
    </row>
    <row r="1082" spans="2:3" x14ac:dyDescent="0.25">
      <c r="B1082"/>
      <c r="C1082"/>
    </row>
    <row r="1083" spans="2:3" x14ac:dyDescent="0.25">
      <c r="B1083"/>
      <c r="C1083"/>
    </row>
    <row r="1084" spans="2:3" x14ac:dyDescent="0.25">
      <c r="B1084"/>
      <c r="C1084"/>
    </row>
    <row r="1085" spans="2:3" x14ac:dyDescent="0.25">
      <c r="B1085"/>
      <c r="C1085"/>
    </row>
    <row r="1086" spans="2:3" x14ac:dyDescent="0.25">
      <c r="B1086"/>
      <c r="C1086"/>
    </row>
    <row r="1087" spans="2:3" x14ac:dyDescent="0.25">
      <c r="B1087"/>
      <c r="C1087"/>
    </row>
    <row r="1088" spans="2:3" x14ac:dyDescent="0.25">
      <c r="B1088"/>
      <c r="C1088"/>
    </row>
    <row r="1089" spans="2:3" x14ac:dyDescent="0.25">
      <c r="B1089"/>
      <c r="C1089"/>
    </row>
    <row r="1090" spans="2:3" x14ac:dyDescent="0.25">
      <c r="B1090"/>
      <c r="C1090"/>
    </row>
    <row r="1091" spans="2:3" x14ac:dyDescent="0.25">
      <c r="B1091"/>
      <c r="C1091"/>
    </row>
    <row r="1092" spans="2:3" x14ac:dyDescent="0.25">
      <c r="B1092"/>
      <c r="C1092"/>
    </row>
    <row r="1093" spans="2:3" x14ac:dyDescent="0.25">
      <c r="B1093"/>
      <c r="C1093"/>
    </row>
    <row r="1094" spans="2:3" x14ac:dyDescent="0.25">
      <c r="B1094"/>
      <c r="C1094"/>
    </row>
    <row r="1095" spans="2:3" x14ac:dyDescent="0.25">
      <c r="B1095"/>
      <c r="C1095"/>
    </row>
    <row r="1096" spans="2:3" x14ac:dyDescent="0.25">
      <c r="B1096"/>
      <c r="C1096"/>
    </row>
    <row r="1097" spans="2:3" x14ac:dyDescent="0.25">
      <c r="B1097"/>
      <c r="C1097"/>
    </row>
    <row r="1098" spans="2:3" x14ac:dyDescent="0.25">
      <c r="B1098"/>
      <c r="C1098"/>
    </row>
    <row r="1099" spans="2:3" x14ac:dyDescent="0.25">
      <c r="B1099"/>
      <c r="C1099"/>
    </row>
    <row r="1100" spans="2:3" x14ac:dyDescent="0.25">
      <c r="B1100"/>
      <c r="C1100"/>
    </row>
    <row r="1101" spans="2:3" x14ac:dyDescent="0.25">
      <c r="B1101"/>
      <c r="C1101"/>
    </row>
    <row r="1102" spans="2:3" x14ac:dyDescent="0.25">
      <c r="B1102"/>
      <c r="C1102"/>
    </row>
    <row r="1103" spans="2:3" x14ac:dyDescent="0.25">
      <c r="B1103"/>
      <c r="C1103"/>
    </row>
    <row r="1104" spans="2:3" x14ac:dyDescent="0.25">
      <c r="B1104"/>
      <c r="C1104"/>
    </row>
    <row r="1105" spans="2:3" x14ac:dyDescent="0.25">
      <c r="B1105"/>
      <c r="C1105"/>
    </row>
    <row r="1106" spans="2:3" x14ac:dyDescent="0.25">
      <c r="B1106"/>
      <c r="C1106"/>
    </row>
    <row r="1107" spans="2:3" x14ac:dyDescent="0.25">
      <c r="B1107"/>
      <c r="C1107"/>
    </row>
    <row r="1108" spans="2:3" x14ac:dyDescent="0.25">
      <c r="B1108"/>
      <c r="C1108"/>
    </row>
    <row r="1109" spans="2:3" x14ac:dyDescent="0.25">
      <c r="B1109"/>
      <c r="C1109"/>
    </row>
    <row r="1110" spans="2:3" x14ac:dyDescent="0.25">
      <c r="B1110"/>
      <c r="C1110"/>
    </row>
    <row r="1111" spans="2:3" x14ac:dyDescent="0.25">
      <c r="B1111"/>
      <c r="C1111"/>
    </row>
    <row r="1112" spans="2:3" x14ac:dyDescent="0.25">
      <c r="B1112"/>
      <c r="C1112"/>
    </row>
    <row r="1113" spans="2:3" x14ac:dyDescent="0.25">
      <c r="B1113"/>
      <c r="C1113"/>
    </row>
    <row r="1114" spans="2:3" x14ac:dyDescent="0.25">
      <c r="B1114"/>
      <c r="C1114"/>
    </row>
    <row r="1115" spans="2:3" x14ac:dyDescent="0.25">
      <c r="B1115"/>
      <c r="C1115"/>
    </row>
    <row r="1116" spans="2:3" x14ac:dyDescent="0.25">
      <c r="B1116"/>
      <c r="C1116"/>
    </row>
    <row r="1117" spans="2:3" x14ac:dyDescent="0.25">
      <c r="B1117"/>
      <c r="C1117"/>
    </row>
    <row r="1118" spans="2:3" x14ac:dyDescent="0.25">
      <c r="B1118"/>
      <c r="C1118"/>
    </row>
    <row r="1119" spans="2:3" x14ac:dyDescent="0.25">
      <c r="B1119"/>
      <c r="C1119"/>
    </row>
    <row r="1120" spans="2:3" x14ac:dyDescent="0.25">
      <c r="B1120"/>
      <c r="C1120"/>
    </row>
    <row r="1121" spans="2:3" x14ac:dyDescent="0.25">
      <c r="B1121"/>
      <c r="C1121"/>
    </row>
    <row r="1122" spans="2:3" x14ac:dyDescent="0.25">
      <c r="B1122"/>
      <c r="C1122"/>
    </row>
    <row r="1123" spans="2:3" x14ac:dyDescent="0.25">
      <c r="B1123"/>
      <c r="C1123"/>
    </row>
    <row r="1124" spans="2:3" x14ac:dyDescent="0.25">
      <c r="B1124"/>
      <c r="C1124"/>
    </row>
    <row r="1125" spans="2:3" x14ac:dyDescent="0.25">
      <c r="B1125"/>
      <c r="C1125"/>
    </row>
    <row r="1126" spans="2:3" x14ac:dyDescent="0.25">
      <c r="B1126"/>
      <c r="C1126"/>
    </row>
    <row r="1127" spans="2:3" x14ac:dyDescent="0.25">
      <c r="B1127"/>
      <c r="C1127"/>
    </row>
    <row r="1128" spans="2:3" x14ac:dyDescent="0.25">
      <c r="B1128"/>
      <c r="C1128"/>
    </row>
    <row r="1129" spans="2:3" x14ac:dyDescent="0.25">
      <c r="B1129"/>
      <c r="C1129"/>
    </row>
    <row r="1130" spans="2:3" x14ac:dyDescent="0.25">
      <c r="B1130"/>
      <c r="C1130"/>
    </row>
    <row r="1131" spans="2:3" x14ac:dyDescent="0.25">
      <c r="B1131"/>
      <c r="C1131"/>
    </row>
    <row r="1132" spans="2:3" x14ac:dyDescent="0.25">
      <c r="B1132"/>
      <c r="C1132"/>
    </row>
    <row r="1133" spans="2:3" x14ac:dyDescent="0.25">
      <c r="B1133"/>
      <c r="C1133"/>
    </row>
    <row r="1134" spans="2:3" x14ac:dyDescent="0.25">
      <c r="B1134"/>
      <c r="C1134"/>
    </row>
    <row r="1135" spans="2:3" x14ac:dyDescent="0.25">
      <c r="B1135"/>
      <c r="C1135"/>
    </row>
    <row r="1136" spans="2:3" x14ac:dyDescent="0.25">
      <c r="B1136"/>
      <c r="C1136"/>
    </row>
    <row r="1137" spans="2:3" x14ac:dyDescent="0.25">
      <c r="B1137"/>
      <c r="C1137"/>
    </row>
    <row r="1138" spans="2:3" x14ac:dyDescent="0.25">
      <c r="B1138"/>
      <c r="C1138"/>
    </row>
    <row r="1139" spans="2:3" x14ac:dyDescent="0.25">
      <c r="B1139"/>
      <c r="C1139"/>
    </row>
    <row r="1140" spans="2:3" x14ac:dyDescent="0.25">
      <c r="B1140"/>
      <c r="C1140"/>
    </row>
    <row r="1141" spans="2:3" x14ac:dyDescent="0.25">
      <c r="B1141"/>
      <c r="C1141"/>
    </row>
    <row r="1142" spans="2:3" x14ac:dyDescent="0.25">
      <c r="B1142"/>
      <c r="C1142"/>
    </row>
    <row r="1143" spans="2:3" x14ac:dyDescent="0.25">
      <c r="B1143"/>
      <c r="C1143"/>
    </row>
    <row r="1144" spans="2:3" x14ac:dyDescent="0.25">
      <c r="B1144"/>
      <c r="C1144"/>
    </row>
    <row r="1145" spans="2:3" x14ac:dyDescent="0.25">
      <c r="B1145"/>
      <c r="C1145"/>
    </row>
    <row r="1146" spans="2:3" x14ac:dyDescent="0.25">
      <c r="B1146"/>
      <c r="C1146"/>
    </row>
    <row r="1147" spans="2:3" x14ac:dyDescent="0.25">
      <c r="B1147"/>
      <c r="C1147"/>
    </row>
    <row r="1148" spans="2:3" x14ac:dyDescent="0.25">
      <c r="B1148"/>
      <c r="C1148"/>
    </row>
    <row r="1149" spans="2:3" x14ac:dyDescent="0.25">
      <c r="B1149"/>
      <c r="C1149"/>
    </row>
    <row r="1150" spans="2:3" x14ac:dyDescent="0.25">
      <c r="B1150"/>
      <c r="C1150"/>
    </row>
    <row r="1151" spans="2:3" x14ac:dyDescent="0.25">
      <c r="B1151"/>
      <c r="C1151"/>
    </row>
    <row r="1152" spans="2:3" x14ac:dyDescent="0.25">
      <c r="B1152"/>
      <c r="C1152"/>
    </row>
    <row r="1153" spans="2:3" x14ac:dyDescent="0.25">
      <c r="B1153"/>
      <c r="C1153"/>
    </row>
    <row r="1154" spans="2:3" x14ac:dyDescent="0.25">
      <c r="B1154"/>
      <c r="C1154"/>
    </row>
    <row r="1155" spans="2:3" x14ac:dyDescent="0.25">
      <c r="B1155"/>
      <c r="C1155"/>
    </row>
    <row r="1156" spans="2:3" x14ac:dyDescent="0.25">
      <c r="B1156"/>
      <c r="C1156"/>
    </row>
    <row r="1157" spans="2:3" x14ac:dyDescent="0.25">
      <c r="B1157"/>
      <c r="C1157"/>
    </row>
    <row r="1158" spans="2:3" x14ac:dyDescent="0.25">
      <c r="B1158"/>
      <c r="C1158"/>
    </row>
    <row r="1159" spans="2:3" x14ac:dyDescent="0.25">
      <c r="B1159"/>
      <c r="C1159"/>
    </row>
    <row r="1160" spans="2:3" x14ac:dyDescent="0.25">
      <c r="B1160"/>
      <c r="C1160"/>
    </row>
    <row r="1161" spans="2:3" x14ac:dyDescent="0.25">
      <c r="B1161"/>
      <c r="C1161"/>
    </row>
    <row r="1162" spans="2:3" x14ac:dyDescent="0.25">
      <c r="B1162"/>
      <c r="C1162"/>
    </row>
    <row r="1163" spans="2:3" x14ac:dyDescent="0.25">
      <c r="B1163"/>
      <c r="C1163"/>
    </row>
    <row r="1164" spans="2:3" x14ac:dyDescent="0.25">
      <c r="B1164"/>
      <c r="C1164"/>
    </row>
    <row r="1165" spans="2:3" x14ac:dyDescent="0.25">
      <c r="B1165"/>
      <c r="C1165"/>
    </row>
    <row r="1166" spans="2:3" x14ac:dyDescent="0.25">
      <c r="B1166"/>
      <c r="C1166"/>
    </row>
    <row r="1167" spans="2:3" x14ac:dyDescent="0.25">
      <c r="B1167"/>
      <c r="C1167"/>
    </row>
    <row r="1168" spans="2:3" x14ac:dyDescent="0.25">
      <c r="B1168"/>
      <c r="C1168"/>
    </row>
    <row r="1169" spans="2:3" x14ac:dyDescent="0.25">
      <c r="B1169"/>
      <c r="C1169"/>
    </row>
    <row r="1170" spans="2:3" x14ac:dyDescent="0.25">
      <c r="B1170"/>
      <c r="C1170"/>
    </row>
    <row r="1171" spans="2:3" x14ac:dyDescent="0.25">
      <c r="B1171"/>
      <c r="C1171"/>
    </row>
    <row r="1172" spans="2:3" x14ac:dyDescent="0.25">
      <c r="B1172"/>
      <c r="C1172"/>
    </row>
    <row r="1173" spans="2:3" x14ac:dyDescent="0.25">
      <c r="B1173"/>
      <c r="C1173"/>
    </row>
    <row r="1174" spans="2:3" x14ac:dyDescent="0.25">
      <c r="B1174"/>
      <c r="C1174"/>
    </row>
    <row r="1175" spans="2:3" x14ac:dyDescent="0.25">
      <c r="B1175"/>
      <c r="C1175"/>
    </row>
    <row r="1176" spans="2:3" x14ac:dyDescent="0.25">
      <c r="B1176"/>
      <c r="C1176"/>
    </row>
    <row r="1177" spans="2:3" x14ac:dyDescent="0.25">
      <c r="B1177"/>
      <c r="C1177"/>
    </row>
    <row r="1178" spans="2:3" x14ac:dyDescent="0.25">
      <c r="B1178"/>
      <c r="C1178"/>
    </row>
    <row r="1179" spans="2:3" x14ac:dyDescent="0.25">
      <c r="B1179"/>
      <c r="C1179"/>
    </row>
    <row r="1180" spans="2:3" x14ac:dyDescent="0.25">
      <c r="B1180"/>
      <c r="C1180"/>
    </row>
    <row r="1181" spans="2:3" x14ac:dyDescent="0.25">
      <c r="B1181"/>
      <c r="C1181"/>
    </row>
    <row r="1182" spans="2:3" x14ac:dyDescent="0.25">
      <c r="B1182"/>
      <c r="C1182"/>
    </row>
    <row r="1183" spans="2:3" x14ac:dyDescent="0.25">
      <c r="B1183"/>
      <c r="C1183"/>
    </row>
    <row r="1184" spans="2:3" x14ac:dyDescent="0.25">
      <c r="B1184"/>
      <c r="C1184"/>
    </row>
    <row r="1185" spans="2:3" x14ac:dyDescent="0.25">
      <c r="B1185"/>
      <c r="C1185"/>
    </row>
    <row r="1186" spans="2:3" x14ac:dyDescent="0.25">
      <c r="B1186"/>
      <c r="C1186"/>
    </row>
    <row r="1187" spans="2:3" x14ac:dyDescent="0.25">
      <c r="B1187"/>
      <c r="C1187"/>
    </row>
    <row r="1188" spans="2:3" x14ac:dyDescent="0.25">
      <c r="B1188"/>
      <c r="C1188"/>
    </row>
    <row r="1189" spans="2:3" x14ac:dyDescent="0.25">
      <c r="B1189"/>
      <c r="C1189"/>
    </row>
    <row r="1190" spans="2:3" x14ac:dyDescent="0.25">
      <c r="B1190"/>
      <c r="C1190"/>
    </row>
    <row r="1191" spans="2:3" x14ac:dyDescent="0.25">
      <c r="B1191"/>
      <c r="C1191"/>
    </row>
    <row r="1192" spans="2:3" x14ac:dyDescent="0.25">
      <c r="B1192"/>
      <c r="C1192"/>
    </row>
    <row r="1193" spans="2:3" x14ac:dyDescent="0.25">
      <c r="B1193"/>
      <c r="C1193"/>
    </row>
    <row r="1194" spans="2:3" x14ac:dyDescent="0.25">
      <c r="B1194"/>
      <c r="C1194"/>
    </row>
    <row r="1195" spans="2:3" x14ac:dyDescent="0.25">
      <c r="B1195"/>
      <c r="C1195"/>
    </row>
    <row r="1196" spans="2:3" x14ac:dyDescent="0.25">
      <c r="B1196"/>
      <c r="C1196"/>
    </row>
    <row r="1197" spans="2:3" x14ac:dyDescent="0.25">
      <c r="B1197"/>
      <c r="C1197"/>
    </row>
    <row r="1198" spans="2:3" x14ac:dyDescent="0.25">
      <c r="B1198"/>
      <c r="C1198"/>
    </row>
    <row r="1199" spans="2:3" x14ac:dyDescent="0.25">
      <c r="B1199"/>
      <c r="C1199"/>
    </row>
    <row r="1200" spans="2:3" x14ac:dyDescent="0.25">
      <c r="B1200"/>
      <c r="C1200"/>
    </row>
    <row r="1201" spans="2:3" x14ac:dyDescent="0.25">
      <c r="B1201"/>
      <c r="C1201"/>
    </row>
    <row r="1202" spans="2:3" x14ac:dyDescent="0.25">
      <c r="B1202"/>
      <c r="C1202"/>
    </row>
    <row r="1203" spans="2:3" x14ac:dyDescent="0.25">
      <c r="B1203"/>
      <c r="C1203"/>
    </row>
    <row r="1204" spans="2:3" x14ac:dyDescent="0.25">
      <c r="B1204"/>
      <c r="C1204"/>
    </row>
    <row r="1205" spans="2:3" x14ac:dyDescent="0.25">
      <c r="B1205"/>
      <c r="C1205"/>
    </row>
    <row r="1206" spans="2:3" x14ac:dyDescent="0.25">
      <c r="B1206"/>
      <c r="C1206"/>
    </row>
    <row r="1207" spans="2:3" x14ac:dyDescent="0.25">
      <c r="B1207"/>
      <c r="C1207"/>
    </row>
    <row r="1208" spans="2:3" x14ac:dyDescent="0.25">
      <c r="B1208"/>
      <c r="C1208"/>
    </row>
    <row r="1209" spans="2:3" x14ac:dyDescent="0.25">
      <c r="B1209"/>
      <c r="C1209"/>
    </row>
    <row r="1210" spans="2:3" x14ac:dyDescent="0.25">
      <c r="B1210"/>
      <c r="C1210"/>
    </row>
    <row r="1211" spans="2:3" x14ac:dyDescent="0.25">
      <c r="B1211"/>
      <c r="C1211"/>
    </row>
    <row r="1212" spans="2:3" x14ac:dyDescent="0.25">
      <c r="B1212"/>
      <c r="C1212"/>
    </row>
    <row r="1213" spans="2:3" x14ac:dyDescent="0.25">
      <c r="B1213"/>
      <c r="C1213"/>
    </row>
    <row r="1214" spans="2:3" x14ac:dyDescent="0.25">
      <c r="B1214"/>
      <c r="C1214"/>
    </row>
    <row r="1215" spans="2:3" x14ac:dyDescent="0.25">
      <c r="B1215"/>
      <c r="C1215"/>
    </row>
    <row r="1216" spans="2:3" x14ac:dyDescent="0.25">
      <c r="B1216"/>
      <c r="C1216"/>
    </row>
    <row r="1217" spans="2:3" x14ac:dyDescent="0.25">
      <c r="B1217"/>
      <c r="C1217"/>
    </row>
    <row r="1218" spans="2:3" x14ac:dyDescent="0.25">
      <c r="B1218"/>
      <c r="C1218"/>
    </row>
    <row r="1219" spans="2:3" x14ac:dyDescent="0.25">
      <c r="B1219"/>
      <c r="C1219"/>
    </row>
    <row r="1220" spans="2:3" x14ac:dyDescent="0.25">
      <c r="B1220"/>
      <c r="C1220"/>
    </row>
    <row r="1221" spans="2:3" x14ac:dyDescent="0.25">
      <c r="B1221"/>
      <c r="C1221"/>
    </row>
    <row r="1222" spans="2:3" x14ac:dyDescent="0.25">
      <c r="B1222"/>
      <c r="C1222"/>
    </row>
    <row r="1223" spans="2:3" x14ac:dyDescent="0.25">
      <c r="B1223"/>
      <c r="C1223"/>
    </row>
    <row r="1224" spans="2:3" x14ac:dyDescent="0.25">
      <c r="B1224"/>
      <c r="C1224"/>
    </row>
    <row r="1225" spans="2:3" x14ac:dyDescent="0.25">
      <c r="B1225"/>
      <c r="C1225"/>
    </row>
    <row r="1226" spans="2:3" x14ac:dyDescent="0.25">
      <c r="B1226"/>
      <c r="C1226"/>
    </row>
    <row r="1227" spans="2:3" x14ac:dyDescent="0.25">
      <c r="B1227"/>
      <c r="C1227"/>
    </row>
    <row r="1228" spans="2:3" x14ac:dyDescent="0.25">
      <c r="B1228"/>
      <c r="C1228"/>
    </row>
    <row r="1229" spans="2:3" x14ac:dyDescent="0.25">
      <c r="B1229"/>
      <c r="C1229"/>
    </row>
    <row r="1230" spans="2:3" x14ac:dyDescent="0.25">
      <c r="B1230"/>
      <c r="C1230"/>
    </row>
    <row r="1231" spans="2:3" x14ac:dyDescent="0.25">
      <c r="B1231"/>
      <c r="C1231"/>
    </row>
    <row r="1232" spans="2:3" x14ac:dyDescent="0.25">
      <c r="B1232"/>
      <c r="C1232"/>
    </row>
    <row r="1233" spans="2:3" x14ac:dyDescent="0.25">
      <c r="B1233"/>
      <c r="C1233"/>
    </row>
    <row r="1234" spans="2:3" x14ac:dyDescent="0.25">
      <c r="B1234"/>
      <c r="C1234"/>
    </row>
    <row r="1235" spans="2:3" x14ac:dyDescent="0.25">
      <c r="B1235"/>
      <c r="C1235"/>
    </row>
    <row r="1236" spans="2:3" x14ac:dyDescent="0.25">
      <c r="B1236"/>
      <c r="C1236"/>
    </row>
    <row r="1237" spans="2:3" x14ac:dyDescent="0.25">
      <c r="B1237"/>
      <c r="C1237"/>
    </row>
    <row r="1238" spans="2:3" x14ac:dyDescent="0.25">
      <c r="B1238"/>
      <c r="C1238"/>
    </row>
    <row r="1239" spans="2:3" x14ac:dyDescent="0.25">
      <c r="B1239"/>
      <c r="C1239"/>
    </row>
    <row r="1240" spans="2:3" x14ac:dyDescent="0.25">
      <c r="B1240"/>
      <c r="C1240"/>
    </row>
    <row r="1241" spans="2:3" x14ac:dyDescent="0.25">
      <c r="B1241"/>
      <c r="C1241"/>
    </row>
    <row r="1242" spans="2:3" x14ac:dyDescent="0.25">
      <c r="B1242"/>
      <c r="C1242"/>
    </row>
    <row r="1243" spans="2:3" x14ac:dyDescent="0.25">
      <c r="B1243"/>
      <c r="C1243"/>
    </row>
    <row r="1244" spans="2:3" x14ac:dyDescent="0.25">
      <c r="B1244"/>
      <c r="C1244"/>
    </row>
    <row r="1245" spans="2:3" x14ac:dyDescent="0.25">
      <c r="B1245"/>
      <c r="C1245"/>
    </row>
    <row r="1246" spans="2:3" x14ac:dyDescent="0.25">
      <c r="B1246"/>
      <c r="C1246"/>
    </row>
    <row r="1247" spans="2:3" x14ac:dyDescent="0.25">
      <c r="B1247"/>
      <c r="C1247"/>
    </row>
    <row r="1248" spans="2:3" x14ac:dyDescent="0.25">
      <c r="B1248"/>
      <c r="C1248"/>
    </row>
    <row r="1249" spans="2:3" x14ac:dyDescent="0.25">
      <c r="B1249"/>
      <c r="C1249"/>
    </row>
    <row r="1250" spans="2:3" x14ac:dyDescent="0.25">
      <c r="B1250"/>
      <c r="C1250"/>
    </row>
    <row r="1251" spans="2:3" x14ac:dyDescent="0.25">
      <c r="B1251"/>
      <c r="C1251"/>
    </row>
    <row r="1252" spans="2:3" x14ac:dyDescent="0.25">
      <c r="B1252"/>
      <c r="C1252"/>
    </row>
    <row r="1253" spans="2:3" x14ac:dyDescent="0.25">
      <c r="B1253"/>
      <c r="C1253"/>
    </row>
    <row r="1254" spans="2:3" x14ac:dyDescent="0.25">
      <c r="B1254"/>
      <c r="C1254"/>
    </row>
    <row r="1255" spans="2:3" x14ac:dyDescent="0.25">
      <c r="B1255"/>
      <c r="C1255"/>
    </row>
    <row r="1256" spans="2:3" x14ac:dyDescent="0.25">
      <c r="B1256"/>
      <c r="C1256"/>
    </row>
    <row r="1257" spans="2:3" x14ac:dyDescent="0.25">
      <c r="B1257"/>
      <c r="C1257"/>
    </row>
    <row r="1258" spans="2:3" x14ac:dyDescent="0.25">
      <c r="B1258"/>
      <c r="C1258"/>
    </row>
    <row r="1259" spans="2:3" x14ac:dyDescent="0.25">
      <c r="B1259"/>
      <c r="C1259"/>
    </row>
    <row r="1260" spans="2:3" x14ac:dyDescent="0.25">
      <c r="B1260"/>
      <c r="C1260"/>
    </row>
    <row r="1261" spans="2:3" x14ac:dyDescent="0.25">
      <c r="B1261"/>
      <c r="C1261"/>
    </row>
    <row r="1262" spans="2:3" x14ac:dyDescent="0.25">
      <c r="B1262"/>
      <c r="C1262"/>
    </row>
    <row r="1263" spans="2:3" x14ac:dyDescent="0.25">
      <c r="B1263"/>
      <c r="C1263"/>
    </row>
    <row r="1264" spans="2:3" x14ac:dyDescent="0.25">
      <c r="B1264"/>
      <c r="C1264"/>
    </row>
    <row r="1265" spans="2:3" x14ac:dyDescent="0.25">
      <c r="B1265"/>
      <c r="C1265"/>
    </row>
    <row r="1266" spans="2:3" x14ac:dyDescent="0.25">
      <c r="B1266"/>
      <c r="C1266"/>
    </row>
    <row r="1267" spans="2:3" x14ac:dyDescent="0.25">
      <c r="B1267"/>
      <c r="C1267"/>
    </row>
    <row r="1268" spans="2:3" x14ac:dyDescent="0.25">
      <c r="B1268"/>
      <c r="C1268"/>
    </row>
    <row r="1269" spans="2:3" x14ac:dyDescent="0.25">
      <c r="B1269"/>
      <c r="C1269"/>
    </row>
    <row r="1270" spans="2:3" x14ac:dyDescent="0.25">
      <c r="B1270"/>
      <c r="C1270"/>
    </row>
    <row r="1271" spans="2:3" x14ac:dyDescent="0.25">
      <c r="B1271"/>
      <c r="C1271"/>
    </row>
    <row r="1272" spans="2:3" x14ac:dyDescent="0.25">
      <c r="B1272"/>
      <c r="C1272"/>
    </row>
    <row r="1273" spans="2:3" x14ac:dyDescent="0.25">
      <c r="B1273"/>
      <c r="C1273"/>
    </row>
    <row r="1274" spans="2:3" x14ac:dyDescent="0.25">
      <c r="B1274"/>
      <c r="C1274"/>
    </row>
    <row r="1275" spans="2:3" x14ac:dyDescent="0.25">
      <c r="B1275"/>
      <c r="C1275"/>
    </row>
    <row r="1276" spans="2:3" x14ac:dyDescent="0.25">
      <c r="B1276"/>
      <c r="C1276"/>
    </row>
    <row r="1277" spans="2:3" x14ac:dyDescent="0.25">
      <c r="B1277"/>
      <c r="C1277"/>
    </row>
    <row r="1278" spans="2:3" x14ac:dyDescent="0.25">
      <c r="B1278"/>
      <c r="C1278"/>
    </row>
    <row r="1279" spans="2:3" x14ac:dyDescent="0.25">
      <c r="B1279"/>
      <c r="C1279"/>
    </row>
    <row r="1280" spans="2:3" x14ac:dyDescent="0.25">
      <c r="B1280"/>
      <c r="C1280"/>
    </row>
    <row r="1281" spans="2:3" x14ac:dyDescent="0.25">
      <c r="B1281"/>
      <c r="C1281"/>
    </row>
    <row r="1282" spans="2:3" x14ac:dyDescent="0.25">
      <c r="B1282"/>
      <c r="C1282"/>
    </row>
    <row r="1283" spans="2:3" x14ac:dyDescent="0.25">
      <c r="B1283"/>
      <c r="C1283"/>
    </row>
    <row r="1284" spans="2:3" x14ac:dyDescent="0.25">
      <c r="B1284"/>
      <c r="C1284"/>
    </row>
    <row r="1285" spans="2:3" x14ac:dyDescent="0.25">
      <c r="B1285"/>
      <c r="C1285"/>
    </row>
    <row r="1286" spans="2:3" x14ac:dyDescent="0.25">
      <c r="B1286"/>
      <c r="C1286"/>
    </row>
    <row r="1287" spans="2:3" x14ac:dyDescent="0.25">
      <c r="B1287"/>
      <c r="C1287"/>
    </row>
    <row r="1288" spans="2:3" x14ac:dyDescent="0.25">
      <c r="B1288"/>
      <c r="C1288"/>
    </row>
    <row r="1289" spans="2:3" x14ac:dyDescent="0.25">
      <c r="B1289"/>
      <c r="C1289"/>
    </row>
    <row r="1290" spans="2:3" x14ac:dyDescent="0.25">
      <c r="B1290"/>
      <c r="C1290"/>
    </row>
    <row r="1291" spans="2:3" x14ac:dyDescent="0.25">
      <c r="B1291"/>
      <c r="C1291"/>
    </row>
    <row r="1292" spans="2:3" x14ac:dyDescent="0.25">
      <c r="B1292"/>
      <c r="C1292"/>
    </row>
    <row r="1293" spans="2:3" x14ac:dyDescent="0.25">
      <c r="B1293"/>
      <c r="C1293"/>
    </row>
    <row r="1294" spans="2:3" x14ac:dyDescent="0.25">
      <c r="B1294"/>
      <c r="C1294"/>
    </row>
    <row r="1295" spans="2:3" x14ac:dyDescent="0.25">
      <c r="B1295"/>
      <c r="C1295"/>
    </row>
    <row r="1296" spans="2:3" x14ac:dyDescent="0.25">
      <c r="B1296"/>
      <c r="C1296"/>
    </row>
    <row r="1297" spans="2:3" x14ac:dyDescent="0.25">
      <c r="B1297"/>
      <c r="C1297"/>
    </row>
    <row r="1298" spans="2:3" x14ac:dyDescent="0.25">
      <c r="B1298"/>
      <c r="C1298"/>
    </row>
    <row r="1299" spans="2:3" x14ac:dyDescent="0.25">
      <c r="B1299"/>
      <c r="C1299"/>
    </row>
    <row r="1300" spans="2:3" x14ac:dyDescent="0.25">
      <c r="B1300"/>
      <c r="C1300"/>
    </row>
    <row r="1301" spans="2:3" x14ac:dyDescent="0.25">
      <c r="B1301"/>
      <c r="C1301"/>
    </row>
    <row r="1302" spans="2:3" x14ac:dyDescent="0.25">
      <c r="B1302"/>
      <c r="C1302"/>
    </row>
    <row r="1303" spans="2:3" x14ac:dyDescent="0.25">
      <c r="B1303"/>
      <c r="C1303"/>
    </row>
    <row r="1304" spans="2:3" x14ac:dyDescent="0.25">
      <c r="B1304"/>
      <c r="C1304"/>
    </row>
    <row r="1305" spans="2:3" x14ac:dyDescent="0.25">
      <c r="B1305"/>
      <c r="C1305"/>
    </row>
    <row r="1306" spans="2:3" x14ac:dyDescent="0.25">
      <c r="B1306"/>
      <c r="C1306"/>
    </row>
    <row r="1307" spans="2:3" x14ac:dyDescent="0.25">
      <c r="B1307"/>
      <c r="C1307"/>
    </row>
    <row r="1308" spans="2:3" x14ac:dyDescent="0.25">
      <c r="B1308"/>
      <c r="C1308"/>
    </row>
    <row r="1309" spans="2:3" x14ac:dyDescent="0.25">
      <c r="B1309"/>
      <c r="C1309"/>
    </row>
    <row r="1310" spans="2:3" x14ac:dyDescent="0.25">
      <c r="B1310"/>
      <c r="C1310"/>
    </row>
    <row r="1311" spans="2:3" x14ac:dyDescent="0.25">
      <c r="B1311"/>
      <c r="C1311"/>
    </row>
    <row r="1312" spans="2:3" x14ac:dyDescent="0.25">
      <c r="B1312"/>
      <c r="C1312"/>
    </row>
    <row r="1313" spans="2:3" x14ac:dyDescent="0.25">
      <c r="B1313"/>
      <c r="C1313"/>
    </row>
    <row r="1314" spans="2:3" x14ac:dyDescent="0.25">
      <c r="B1314"/>
      <c r="C1314"/>
    </row>
    <row r="1315" spans="2:3" x14ac:dyDescent="0.25">
      <c r="B1315"/>
      <c r="C1315"/>
    </row>
    <row r="1316" spans="2:3" x14ac:dyDescent="0.25">
      <c r="B1316"/>
      <c r="C1316"/>
    </row>
    <row r="1317" spans="2:3" x14ac:dyDescent="0.25">
      <c r="B1317"/>
      <c r="C1317"/>
    </row>
    <row r="1318" spans="2:3" x14ac:dyDescent="0.25">
      <c r="B1318"/>
      <c r="C1318"/>
    </row>
    <row r="1319" spans="2:3" x14ac:dyDescent="0.25">
      <c r="B1319"/>
      <c r="C1319"/>
    </row>
    <row r="1320" spans="2:3" x14ac:dyDescent="0.25">
      <c r="B1320"/>
      <c r="C1320"/>
    </row>
    <row r="1321" spans="2:3" x14ac:dyDescent="0.25">
      <c r="B1321"/>
      <c r="C1321"/>
    </row>
    <row r="1322" spans="2:3" x14ac:dyDescent="0.25">
      <c r="B1322"/>
      <c r="C1322"/>
    </row>
    <row r="1323" spans="2:3" x14ac:dyDescent="0.25">
      <c r="B1323"/>
      <c r="C1323"/>
    </row>
    <row r="1324" spans="2:3" x14ac:dyDescent="0.25">
      <c r="B1324"/>
      <c r="C1324"/>
    </row>
    <row r="1325" spans="2:3" x14ac:dyDescent="0.25">
      <c r="B1325"/>
      <c r="C1325"/>
    </row>
    <row r="1326" spans="2:3" x14ac:dyDescent="0.25">
      <c r="B1326"/>
      <c r="C1326"/>
    </row>
    <row r="1327" spans="2:3" x14ac:dyDescent="0.25">
      <c r="B1327"/>
      <c r="C1327"/>
    </row>
    <row r="1328" spans="2:3" x14ac:dyDescent="0.25">
      <c r="B1328"/>
      <c r="C1328"/>
    </row>
    <row r="1329" spans="2:3" x14ac:dyDescent="0.25">
      <c r="B1329"/>
      <c r="C1329"/>
    </row>
    <row r="1330" spans="2:3" x14ac:dyDescent="0.25">
      <c r="B1330"/>
      <c r="C1330"/>
    </row>
    <row r="1331" spans="2:3" x14ac:dyDescent="0.25">
      <c r="B1331"/>
      <c r="C1331"/>
    </row>
    <row r="1332" spans="2:3" x14ac:dyDescent="0.25">
      <c r="B1332"/>
      <c r="C1332"/>
    </row>
    <row r="1333" spans="2:3" x14ac:dyDescent="0.25">
      <c r="B1333"/>
      <c r="C1333"/>
    </row>
    <row r="1334" spans="2:3" x14ac:dyDescent="0.25">
      <c r="B1334"/>
      <c r="C1334"/>
    </row>
    <row r="1335" spans="2:3" x14ac:dyDescent="0.25">
      <c r="B1335"/>
      <c r="C1335"/>
    </row>
    <row r="1336" spans="2:3" x14ac:dyDescent="0.25">
      <c r="B1336"/>
      <c r="C1336"/>
    </row>
    <row r="1337" spans="2:3" x14ac:dyDescent="0.25">
      <c r="B1337"/>
      <c r="C1337"/>
    </row>
    <row r="1338" spans="2:3" x14ac:dyDescent="0.25">
      <c r="B1338"/>
      <c r="C1338"/>
    </row>
    <row r="1339" spans="2:3" x14ac:dyDescent="0.25">
      <c r="B1339"/>
      <c r="C1339"/>
    </row>
    <row r="1340" spans="2:3" x14ac:dyDescent="0.25">
      <c r="B1340"/>
      <c r="C1340"/>
    </row>
    <row r="1341" spans="2:3" x14ac:dyDescent="0.25">
      <c r="B1341"/>
      <c r="C1341"/>
    </row>
    <row r="1342" spans="2:3" x14ac:dyDescent="0.25">
      <c r="B1342"/>
      <c r="C1342"/>
    </row>
    <row r="1343" spans="2:3" x14ac:dyDescent="0.25">
      <c r="B1343"/>
      <c r="C1343"/>
    </row>
    <row r="1344" spans="2:3" x14ac:dyDescent="0.25">
      <c r="B1344"/>
      <c r="C1344"/>
    </row>
    <row r="1345" spans="2:3" x14ac:dyDescent="0.25">
      <c r="B1345"/>
      <c r="C1345"/>
    </row>
    <row r="1346" spans="2:3" x14ac:dyDescent="0.25">
      <c r="B1346"/>
      <c r="C1346"/>
    </row>
    <row r="1347" spans="2:3" x14ac:dyDescent="0.25">
      <c r="B1347"/>
      <c r="C1347"/>
    </row>
    <row r="1348" spans="2:3" x14ac:dyDescent="0.25">
      <c r="B1348"/>
      <c r="C1348"/>
    </row>
    <row r="1349" spans="2:3" x14ac:dyDescent="0.25">
      <c r="B1349"/>
      <c r="C1349"/>
    </row>
    <row r="1350" spans="2:3" x14ac:dyDescent="0.25">
      <c r="B1350"/>
      <c r="C1350"/>
    </row>
    <row r="1351" spans="2:3" x14ac:dyDescent="0.25">
      <c r="B1351"/>
      <c r="C1351"/>
    </row>
    <row r="1352" spans="2:3" x14ac:dyDescent="0.25">
      <c r="B1352"/>
      <c r="C1352"/>
    </row>
    <row r="1353" spans="2:3" x14ac:dyDescent="0.25">
      <c r="B1353"/>
      <c r="C1353"/>
    </row>
    <row r="1354" spans="2:3" x14ac:dyDescent="0.25">
      <c r="B1354"/>
      <c r="C1354"/>
    </row>
    <row r="1355" spans="2:3" x14ac:dyDescent="0.25">
      <c r="B1355"/>
      <c r="C1355"/>
    </row>
    <row r="1356" spans="2:3" x14ac:dyDescent="0.25">
      <c r="B1356"/>
      <c r="C1356"/>
    </row>
    <row r="1357" spans="2:3" x14ac:dyDescent="0.25">
      <c r="B1357"/>
      <c r="C1357"/>
    </row>
    <row r="1358" spans="2:3" x14ac:dyDescent="0.25">
      <c r="B1358"/>
      <c r="C1358"/>
    </row>
    <row r="1359" spans="2:3" x14ac:dyDescent="0.25">
      <c r="B1359"/>
      <c r="C1359"/>
    </row>
    <row r="1360" spans="2:3" x14ac:dyDescent="0.25">
      <c r="B1360"/>
      <c r="C1360"/>
    </row>
    <row r="1361" spans="2:3" x14ac:dyDescent="0.25">
      <c r="B1361"/>
      <c r="C1361"/>
    </row>
    <row r="1362" spans="2:3" x14ac:dyDescent="0.25">
      <c r="B1362"/>
      <c r="C1362"/>
    </row>
    <row r="1363" spans="2:3" x14ac:dyDescent="0.25">
      <c r="B1363"/>
      <c r="C1363"/>
    </row>
    <row r="1364" spans="2:3" x14ac:dyDescent="0.25">
      <c r="B1364"/>
      <c r="C1364"/>
    </row>
    <row r="1365" spans="2:3" x14ac:dyDescent="0.25">
      <c r="B1365"/>
      <c r="C1365"/>
    </row>
    <row r="1366" spans="2:3" x14ac:dyDescent="0.25">
      <c r="B1366"/>
      <c r="C1366"/>
    </row>
    <row r="1367" spans="2:3" x14ac:dyDescent="0.25">
      <c r="B1367"/>
      <c r="C1367"/>
    </row>
    <row r="1368" spans="2:3" x14ac:dyDescent="0.25">
      <c r="B1368"/>
      <c r="C1368"/>
    </row>
    <row r="1369" spans="2:3" x14ac:dyDescent="0.25">
      <c r="B1369"/>
      <c r="C1369"/>
    </row>
    <row r="1370" spans="2:3" x14ac:dyDescent="0.25">
      <c r="B1370"/>
      <c r="C1370"/>
    </row>
    <row r="1371" spans="2:3" x14ac:dyDescent="0.25">
      <c r="B1371"/>
      <c r="C1371"/>
    </row>
    <row r="1372" spans="2:3" x14ac:dyDescent="0.25">
      <c r="B1372"/>
      <c r="C1372"/>
    </row>
    <row r="1373" spans="2:3" x14ac:dyDescent="0.25">
      <c r="B1373"/>
      <c r="C1373"/>
    </row>
    <row r="1374" spans="2:3" x14ac:dyDescent="0.25">
      <c r="B1374"/>
      <c r="C1374"/>
    </row>
    <row r="1375" spans="2:3" x14ac:dyDescent="0.25">
      <c r="B1375"/>
      <c r="C1375"/>
    </row>
    <row r="1376" spans="2:3" x14ac:dyDescent="0.25">
      <c r="B1376"/>
      <c r="C1376"/>
    </row>
    <row r="1377" spans="2:3" x14ac:dyDescent="0.25">
      <c r="B1377"/>
      <c r="C1377"/>
    </row>
    <row r="1378" spans="2:3" x14ac:dyDescent="0.25">
      <c r="B1378"/>
      <c r="C1378"/>
    </row>
    <row r="1379" spans="2:3" x14ac:dyDescent="0.25">
      <c r="B1379"/>
      <c r="C1379"/>
    </row>
    <row r="1380" spans="2:3" x14ac:dyDescent="0.25">
      <c r="B1380"/>
      <c r="C1380"/>
    </row>
    <row r="1381" spans="2:3" x14ac:dyDescent="0.25">
      <c r="B1381"/>
      <c r="C1381"/>
    </row>
    <row r="1382" spans="2:3" x14ac:dyDescent="0.25">
      <c r="B1382"/>
      <c r="C1382"/>
    </row>
    <row r="1383" spans="2:3" x14ac:dyDescent="0.25">
      <c r="B1383"/>
      <c r="C1383"/>
    </row>
    <row r="1384" spans="2:3" x14ac:dyDescent="0.25">
      <c r="B1384"/>
      <c r="C1384"/>
    </row>
    <row r="1385" spans="2:3" x14ac:dyDescent="0.25">
      <c r="B1385"/>
      <c r="C1385"/>
    </row>
    <row r="1386" spans="2:3" x14ac:dyDescent="0.25">
      <c r="B1386"/>
      <c r="C1386"/>
    </row>
    <row r="1387" spans="2:3" x14ac:dyDescent="0.25">
      <c r="B1387"/>
      <c r="C1387"/>
    </row>
    <row r="1388" spans="2:3" x14ac:dyDescent="0.25">
      <c r="B1388"/>
      <c r="C1388"/>
    </row>
    <row r="1389" spans="2:3" x14ac:dyDescent="0.25">
      <c r="B1389"/>
      <c r="C1389"/>
    </row>
    <row r="1390" spans="2:3" x14ac:dyDescent="0.25">
      <c r="B1390"/>
      <c r="C1390"/>
    </row>
    <row r="1391" spans="2:3" x14ac:dyDescent="0.25">
      <c r="B1391"/>
      <c r="C1391"/>
    </row>
    <row r="1392" spans="2:3" x14ac:dyDescent="0.25">
      <c r="B1392"/>
      <c r="C1392"/>
    </row>
    <row r="1393" spans="2:3" x14ac:dyDescent="0.25">
      <c r="B1393"/>
      <c r="C1393"/>
    </row>
    <row r="1394" spans="2:3" x14ac:dyDescent="0.25">
      <c r="B1394"/>
      <c r="C1394"/>
    </row>
    <row r="1395" spans="2:3" x14ac:dyDescent="0.25">
      <c r="B1395"/>
      <c r="C1395"/>
    </row>
    <row r="1396" spans="2:3" x14ac:dyDescent="0.25">
      <c r="B1396"/>
      <c r="C1396"/>
    </row>
    <row r="1397" spans="2:3" x14ac:dyDescent="0.25">
      <c r="B1397"/>
      <c r="C1397"/>
    </row>
    <row r="1398" spans="2:3" x14ac:dyDescent="0.25">
      <c r="B1398"/>
      <c r="C1398"/>
    </row>
    <row r="1399" spans="2:3" x14ac:dyDescent="0.25">
      <c r="B1399"/>
      <c r="C1399"/>
    </row>
    <row r="1400" spans="2:3" x14ac:dyDescent="0.25">
      <c r="B1400"/>
      <c r="C1400"/>
    </row>
    <row r="1401" spans="2:3" x14ac:dyDescent="0.25">
      <c r="B1401"/>
      <c r="C1401"/>
    </row>
    <row r="1402" spans="2:3" x14ac:dyDescent="0.25">
      <c r="B1402"/>
      <c r="C1402"/>
    </row>
    <row r="1403" spans="2:3" x14ac:dyDescent="0.25">
      <c r="B1403"/>
      <c r="C1403"/>
    </row>
    <row r="1404" spans="2:3" x14ac:dyDescent="0.25">
      <c r="B1404"/>
      <c r="C1404"/>
    </row>
    <row r="1405" spans="2:3" x14ac:dyDescent="0.25">
      <c r="B1405"/>
      <c r="C1405"/>
    </row>
    <row r="1406" spans="2:3" x14ac:dyDescent="0.25">
      <c r="B1406"/>
      <c r="C1406"/>
    </row>
    <row r="1407" spans="2:3" x14ac:dyDescent="0.25">
      <c r="B1407"/>
      <c r="C1407"/>
    </row>
    <row r="1408" spans="2:3" x14ac:dyDescent="0.25">
      <c r="B1408"/>
      <c r="C1408"/>
    </row>
    <row r="1409" spans="2:3" x14ac:dyDescent="0.25">
      <c r="B1409"/>
      <c r="C1409"/>
    </row>
    <row r="1410" spans="2:3" x14ac:dyDescent="0.25">
      <c r="B1410"/>
      <c r="C1410"/>
    </row>
    <row r="1411" spans="2:3" x14ac:dyDescent="0.25">
      <c r="B1411"/>
      <c r="C1411"/>
    </row>
    <row r="1412" spans="2:3" x14ac:dyDescent="0.25">
      <c r="B1412"/>
      <c r="C1412"/>
    </row>
    <row r="1413" spans="2:3" x14ac:dyDescent="0.25">
      <c r="B1413"/>
      <c r="C1413"/>
    </row>
    <row r="1414" spans="2:3" x14ac:dyDescent="0.25">
      <c r="B1414"/>
      <c r="C1414"/>
    </row>
    <row r="1415" spans="2:3" x14ac:dyDescent="0.25">
      <c r="B1415"/>
      <c r="C1415"/>
    </row>
    <row r="1416" spans="2:3" x14ac:dyDescent="0.25">
      <c r="B1416"/>
      <c r="C1416"/>
    </row>
    <row r="1417" spans="2:3" x14ac:dyDescent="0.25">
      <c r="B1417"/>
      <c r="C1417"/>
    </row>
    <row r="1418" spans="2:3" x14ac:dyDescent="0.25">
      <c r="B1418"/>
      <c r="C1418"/>
    </row>
    <row r="1419" spans="2:3" x14ac:dyDescent="0.25">
      <c r="B1419"/>
      <c r="C1419"/>
    </row>
    <row r="1420" spans="2:3" x14ac:dyDescent="0.25">
      <c r="B1420"/>
      <c r="C1420"/>
    </row>
    <row r="1421" spans="2:3" x14ac:dyDescent="0.25">
      <c r="B1421"/>
      <c r="C1421"/>
    </row>
    <row r="1422" spans="2:3" x14ac:dyDescent="0.25">
      <c r="B1422"/>
      <c r="C1422"/>
    </row>
    <row r="1423" spans="2:3" x14ac:dyDescent="0.25">
      <c r="B1423"/>
      <c r="C1423"/>
    </row>
    <row r="1424" spans="2:3" x14ac:dyDescent="0.25">
      <c r="B1424"/>
      <c r="C1424"/>
    </row>
    <row r="1425" spans="2:3" x14ac:dyDescent="0.25">
      <c r="B1425"/>
      <c r="C1425"/>
    </row>
    <row r="1426" spans="2:3" x14ac:dyDescent="0.25">
      <c r="B1426"/>
      <c r="C1426"/>
    </row>
    <row r="1427" spans="2:3" x14ac:dyDescent="0.25">
      <c r="B1427"/>
      <c r="C1427"/>
    </row>
    <row r="1428" spans="2:3" x14ac:dyDescent="0.25">
      <c r="B1428"/>
      <c r="C1428"/>
    </row>
    <row r="1429" spans="2:3" x14ac:dyDescent="0.25">
      <c r="B1429"/>
      <c r="C1429"/>
    </row>
    <row r="1430" spans="2:3" x14ac:dyDescent="0.25">
      <c r="B1430"/>
      <c r="C1430"/>
    </row>
    <row r="1431" spans="2:3" x14ac:dyDescent="0.25">
      <c r="B1431"/>
      <c r="C1431"/>
    </row>
    <row r="1432" spans="2:3" x14ac:dyDescent="0.25">
      <c r="B1432"/>
      <c r="C1432"/>
    </row>
    <row r="1433" spans="2:3" x14ac:dyDescent="0.25">
      <c r="B1433"/>
      <c r="C1433"/>
    </row>
    <row r="1434" spans="2:3" x14ac:dyDescent="0.25">
      <c r="B1434"/>
      <c r="C1434"/>
    </row>
    <row r="1435" spans="2:3" x14ac:dyDescent="0.25">
      <c r="B1435"/>
      <c r="C1435"/>
    </row>
    <row r="1436" spans="2:3" x14ac:dyDescent="0.25">
      <c r="B1436"/>
      <c r="C1436"/>
    </row>
    <row r="1437" spans="2:3" x14ac:dyDescent="0.25">
      <c r="B1437"/>
      <c r="C1437"/>
    </row>
    <row r="1438" spans="2:3" x14ac:dyDescent="0.25">
      <c r="B1438"/>
      <c r="C1438"/>
    </row>
    <row r="1439" spans="2:3" x14ac:dyDescent="0.25">
      <c r="B1439"/>
      <c r="C1439"/>
    </row>
    <row r="1440" spans="2:3" x14ac:dyDescent="0.25">
      <c r="B1440"/>
      <c r="C1440"/>
    </row>
    <row r="1441" spans="2:3" x14ac:dyDescent="0.25">
      <c r="B1441"/>
      <c r="C1441"/>
    </row>
    <row r="1442" spans="2:3" x14ac:dyDescent="0.25">
      <c r="B1442"/>
      <c r="C1442"/>
    </row>
    <row r="1443" spans="2:3" x14ac:dyDescent="0.25">
      <c r="B1443"/>
      <c r="C1443"/>
    </row>
    <row r="1444" spans="2:3" x14ac:dyDescent="0.25">
      <c r="B1444"/>
      <c r="C1444"/>
    </row>
    <row r="1445" spans="2:3" x14ac:dyDescent="0.25">
      <c r="B1445"/>
      <c r="C1445"/>
    </row>
    <row r="1446" spans="2:3" x14ac:dyDescent="0.25">
      <c r="B1446"/>
      <c r="C1446"/>
    </row>
    <row r="1447" spans="2:3" x14ac:dyDescent="0.25">
      <c r="B1447"/>
      <c r="C1447"/>
    </row>
    <row r="1448" spans="2:3" x14ac:dyDescent="0.25">
      <c r="B1448"/>
      <c r="C1448"/>
    </row>
    <row r="1449" spans="2:3" x14ac:dyDescent="0.25">
      <c r="B1449"/>
      <c r="C1449"/>
    </row>
    <row r="1450" spans="2:3" x14ac:dyDescent="0.25">
      <c r="B1450"/>
      <c r="C1450"/>
    </row>
    <row r="1451" spans="2:3" x14ac:dyDescent="0.25">
      <c r="B1451"/>
      <c r="C1451"/>
    </row>
    <row r="1452" spans="2:3" x14ac:dyDescent="0.25">
      <c r="B1452"/>
      <c r="C1452"/>
    </row>
    <row r="1453" spans="2:3" x14ac:dyDescent="0.25">
      <c r="B1453"/>
      <c r="C1453"/>
    </row>
    <row r="1454" spans="2:3" x14ac:dyDescent="0.25">
      <c r="B1454"/>
      <c r="C1454"/>
    </row>
    <row r="1455" spans="2:3" x14ac:dyDescent="0.25">
      <c r="B1455"/>
      <c r="C1455"/>
    </row>
    <row r="1456" spans="2:3" x14ac:dyDescent="0.25">
      <c r="B1456"/>
      <c r="C1456"/>
    </row>
    <row r="1457" spans="2:3" x14ac:dyDescent="0.25">
      <c r="B1457"/>
      <c r="C1457"/>
    </row>
    <row r="1458" spans="2:3" x14ac:dyDescent="0.25">
      <c r="B1458"/>
      <c r="C1458"/>
    </row>
    <row r="1459" spans="2:3" x14ac:dyDescent="0.25">
      <c r="B1459"/>
      <c r="C1459"/>
    </row>
    <row r="1460" spans="2:3" x14ac:dyDescent="0.25">
      <c r="B1460"/>
      <c r="C1460"/>
    </row>
    <row r="1461" spans="2:3" x14ac:dyDescent="0.25">
      <c r="B1461"/>
      <c r="C1461"/>
    </row>
    <row r="1462" spans="2:3" x14ac:dyDescent="0.25">
      <c r="B1462"/>
      <c r="C1462"/>
    </row>
    <row r="1463" spans="2:3" x14ac:dyDescent="0.25">
      <c r="B1463"/>
      <c r="C1463"/>
    </row>
    <row r="1464" spans="2:3" x14ac:dyDescent="0.25">
      <c r="B1464"/>
      <c r="C1464"/>
    </row>
    <row r="1465" spans="2:3" x14ac:dyDescent="0.25">
      <c r="B1465"/>
      <c r="C1465"/>
    </row>
    <row r="1466" spans="2:3" x14ac:dyDescent="0.25">
      <c r="B1466"/>
      <c r="C1466"/>
    </row>
    <row r="1467" spans="2:3" x14ac:dyDescent="0.25">
      <c r="B1467"/>
      <c r="C1467"/>
    </row>
    <row r="1468" spans="2:3" x14ac:dyDescent="0.25">
      <c r="B1468"/>
      <c r="C1468"/>
    </row>
    <row r="1469" spans="2:3" x14ac:dyDescent="0.25">
      <c r="B1469"/>
      <c r="C1469"/>
    </row>
    <row r="1470" spans="2:3" x14ac:dyDescent="0.25">
      <c r="B1470"/>
      <c r="C1470"/>
    </row>
    <row r="1471" spans="2:3" x14ac:dyDescent="0.25">
      <c r="B1471"/>
      <c r="C1471"/>
    </row>
    <row r="1472" spans="2:3" x14ac:dyDescent="0.25">
      <c r="B1472"/>
      <c r="C1472"/>
    </row>
    <row r="1473" spans="2:3" x14ac:dyDescent="0.25">
      <c r="B1473"/>
      <c r="C1473"/>
    </row>
    <row r="1474" spans="2:3" x14ac:dyDescent="0.25">
      <c r="B1474"/>
      <c r="C1474"/>
    </row>
    <row r="1475" spans="2:3" x14ac:dyDescent="0.25">
      <c r="B1475"/>
      <c r="C1475"/>
    </row>
    <row r="1476" spans="2:3" x14ac:dyDescent="0.25">
      <c r="B1476"/>
      <c r="C1476"/>
    </row>
    <row r="1477" spans="2:3" x14ac:dyDescent="0.25">
      <c r="B1477"/>
      <c r="C1477"/>
    </row>
    <row r="1478" spans="2:3" x14ac:dyDescent="0.25">
      <c r="B1478"/>
      <c r="C1478"/>
    </row>
    <row r="1479" spans="2:3" x14ac:dyDescent="0.25">
      <c r="B1479"/>
      <c r="C1479"/>
    </row>
    <row r="1480" spans="2:3" x14ac:dyDescent="0.25">
      <c r="B1480"/>
      <c r="C1480"/>
    </row>
    <row r="1481" spans="2:3" x14ac:dyDescent="0.25">
      <c r="B1481"/>
      <c r="C1481"/>
    </row>
    <row r="1482" spans="2:3" x14ac:dyDescent="0.25">
      <c r="B1482"/>
      <c r="C1482"/>
    </row>
    <row r="1483" spans="2:3" x14ac:dyDescent="0.25">
      <c r="B1483"/>
      <c r="C1483"/>
    </row>
    <row r="1484" spans="2:3" x14ac:dyDescent="0.25">
      <c r="B1484"/>
      <c r="C1484"/>
    </row>
    <row r="1485" spans="2:3" x14ac:dyDescent="0.25">
      <c r="B1485"/>
      <c r="C1485"/>
    </row>
    <row r="1486" spans="2:3" x14ac:dyDescent="0.25">
      <c r="B1486"/>
      <c r="C1486"/>
    </row>
    <row r="1487" spans="2:3" x14ac:dyDescent="0.25">
      <c r="B1487"/>
      <c r="C1487"/>
    </row>
    <row r="1488" spans="2:3" x14ac:dyDescent="0.25">
      <c r="B1488"/>
      <c r="C1488"/>
    </row>
    <row r="1489" spans="2:3" x14ac:dyDescent="0.25">
      <c r="B1489"/>
      <c r="C1489"/>
    </row>
    <row r="1490" spans="2:3" x14ac:dyDescent="0.25">
      <c r="B1490"/>
      <c r="C1490"/>
    </row>
    <row r="1491" spans="2:3" x14ac:dyDescent="0.25">
      <c r="B1491"/>
      <c r="C1491"/>
    </row>
    <row r="1492" spans="2:3" x14ac:dyDescent="0.25">
      <c r="B1492"/>
      <c r="C1492"/>
    </row>
    <row r="1493" spans="2:3" x14ac:dyDescent="0.25">
      <c r="B1493"/>
      <c r="C1493"/>
    </row>
    <row r="1494" spans="2:3" x14ac:dyDescent="0.25">
      <c r="B1494"/>
      <c r="C1494"/>
    </row>
    <row r="1495" spans="2:3" x14ac:dyDescent="0.25">
      <c r="B1495"/>
      <c r="C1495"/>
    </row>
    <row r="1496" spans="2:3" x14ac:dyDescent="0.25">
      <c r="B1496"/>
      <c r="C1496"/>
    </row>
    <row r="1497" spans="2:3" x14ac:dyDescent="0.25">
      <c r="B1497"/>
      <c r="C1497"/>
    </row>
    <row r="1498" spans="2:3" x14ac:dyDescent="0.25">
      <c r="B1498"/>
      <c r="C1498"/>
    </row>
    <row r="1499" spans="2:3" x14ac:dyDescent="0.25">
      <c r="B1499"/>
      <c r="C1499"/>
    </row>
    <row r="1500" spans="2:3" x14ac:dyDescent="0.25">
      <c r="B1500"/>
      <c r="C1500"/>
    </row>
    <row r="1501" spans="2:3" x14ac:dyDescent="0.25">
      <c r="B1501"/>
      <c r="C1501"/>
    </row>
    <row r="1502" spans="2:3" x14ac:dyDescent="0.25">
      <c r="B1502"/>
      <c r="C1502"/>
    </row>
    <row r="1503" spans="2:3" x14ac:dyDescent="0.25">
      <c r="B1503"/>
      <c r="C1503"/>
    </row>
    <row r="1504" spans="2:3" x14ac:dyDescent="0.25">
      <c r="B1504"/>
      <c r="C1504"/>
    </row>
    <row r="1505" spans="2:3" x14ac:dyDescent="0.25">
      <c r="B1505"/>
      <c r="C1505"/>
    </row>
    <row r="1506" spans="2:3" x14ac:dyDescent="0.25">
      <c r="B1506"/>
      <c r="C1506"/>
    </row>
    <row r="1507" spans="2:3" x14ac:dyDescent="0.25">
      <c r="B1507"/>
      <c r="C1507"/>
    </row>
    <row r="1508" spans="2:3" x14ac:dyDescent="0.25">
      <c r="B1508"/>
      <c r="C1508"/>
    </row>
    <row r="1509" spans="2:3" x14ac:dyDescent="0.25">
      <c r="B1509"/>
      <c r="C1509"/>
    </row>
    <row r="1510" spans="2:3" x14ac:dyDescent="0.25">
      <c r="B1510"/>
      <c r="C1510"/>
    </row>
    <row r="1511" spans="2:3" x14ac:dyDescent="0.25">
      <c r="B1511"/>
      <c r="C1511"/>
    </row>
    <row r="1512" spans="2:3" x14ac:dyDescent="0.25">
      <c r="B1512"/>
      <c r="C1512"/>
    </row>
    <row r="1513" spans="2:3" x14ac:dyDescent="0.25">
      <c r="B1513"/>
      <c r="C1513"/>
    </row>
    <row r="1514" spans="2:3" x14ac:dyDescent="0.25">
      <c r="B1514"/>
      <c r="C1514"/>
    </row>
    <row r="1515" spans="2:3" x14ac:dyDescent="0.25">
      <c r="B1515"/>
      <c r="C1515"/>
    </row>
    <row r="1516" spans="2:3" x14ac:dyDescent="0.25">
      <c r="B1516"/>
      <c r="C1516"/>
    </row>
    <row r="1517" spans="2:3" x14ac:dyDescent="0.25">
      <c r="B1517"/>
      <c r="C1517"/>
    </row>
    <row r="1518" spans="2:3" x14ac:dyDescent="0.25">
      <c r="B1518"/>
      <c r="C1518"/>
    </row>
    <row r="1519" spans="2:3" x14ac:dyDescent="0.25">
      <c r="B1519"/>
      <c r="C1519"/>
    </row>
    <row r="1520" spans="2:3" x14ac:dyDescent="0.25">
      <c r="B1520"/>
      <c r="C1520"/>
    </row>
    <row r="1521" spans="2:3" x14ac:dyDescent="0.25">
      <c r="B1521"/>
      <c r="C1521"/>
    </row>
    <row r="1522" spans="2:3" x14ac:dyDescent="0.25">
      <c r="B1522"/>
      <c r="C1522"/>
    </row>
    <row r="1523" spans="2:3" x14ac:dyDescent="0.25">
      <c r="B1523"/>
      <c r="C1523"/>
    </row>
    <row r="1524" spans="2:3" x14ac:dyDescent="0.25">
      <c r="B1524"/>
      <c r="C1524"/>
    </row>
    <row r="1525" spans="2:3" x14ac:dyDescent="0.25">
      <c r="B1525"/>
      <c r="C1525"/>
    </row>
    <row r="1526" spans="2:3" x14ac:dyDescent="0.25">
      <c r="B1526"/>
      <c r="C1526"/>
    </row>
    <row r="1527" spans="2:3" x14ac:dyDescent="0.25">
      <c r="B1527"/>
      <c r="C1527"/>
    </row>
    <row r="1528" spans="2:3" x14ac:dyDescent="0.25">
      <c r="B1528"/>
      <c r="C1528"/>
    </row>
    <row r="1529" spans="2:3" x14ac:dyDescent="0.25">
      <c r="B1529"/>
      <c r="C1529"/>
    </row>
    <row r="1530" spans="2:3" x14ac:dyDescent="0.25">
      <c r="B1530"/>
      <c r="C1530"/>
    </row>
    <row r="1531" spans="2:3" x14ac:dyDescent="0.25">
      <c r="B1531"/>
      <c r="C1531"/>
    </row>
    <row r="1532" spans="2:3" x14ac:dyDescent="0.25">
      <c r="B1532"/>
      <c r="C1532"/>
    </row>
    <row r="1533" spans="2:3" x14ac:dyDescent="0.25">
      <c r="B1533"/>
      <c r="C1533"/>
    </row>
    <row r="1534" spans="2:3" x14ac:dyDescent="0.25">
      <c r="B1534"/>
      <c r="C1534"/>
    </row>
    <row r="1535" spans="2:3" x14ac:dyDescent="0.25">
      <c r="B1535"/>
      <c r="C1535"/>
    </row>
    <row r="1536" spans="2:3" x14ac:dyDescent="0.25">
      <c r="B1536"/>
      <c r="C1536"/>
    </row>
    <row r="1537" spans="2:3" x14ac:dyDescent="0.25">
      <c r="B1537"/>
      <c r="C1537"/>
    </row>
    <row r="1538" spans="2:3" x14ac:dyDescent="0.25">
      <c r="B1538"/>
      <c r="C1538"/>
    </row>
    <row r="1539" spans="2:3" x14ac:dyDescent="0.25">
      <c r="B1539"/>
      <c r="C1539"/>
    </row>
    <row r="1540" spans="2:3" x14ac:dyDescent="0.25">
      <c r="B1540"/>
      <c r="C1540"/>
    </row>
    <row r="1541" spans="2:3" x14ac:dyDescent="0.25">
      <c r="B1541"/>
      <c r="C1541"/>
    </row>
    <row r="1542" spans="2:3" x14ac:dyDescent="0.25">
      <c r="B1542"/>
      <c r="C1542"/>
    </row>
    <row r="1543" spans="2:3" x14ac:dyDescent="0.25">
      <c r="B1543"/>
      <c r="C1543"/>
    </row>
    <row r="1544" spans="2:3" x14ac:dyDescent="0.25">
      <c r="B1544"/>
      <c r="C1544"/>
    </row>
    <row r="1545" spans="2:3" x14ac:dyDescent="0.25">
      <c r="B1545"/>
      <c r="C1545"/>
    </row>
    <row r="1546" spans="2:3" x14ac:dyDescent="0.25">
      <c r="B1546"/>
      <c r="C1546"/>
    </row>
    <row r="1547" spans="2:3" x14ac:dyDescent="0.25">
      <c r="B1547"/>
      <c r="C1547"/>
    </row>
    <row r="1548" spans="2:3" x14ac:dyDescent="0.25">
      <c r="B1548"/>
      <c r="C1548"/>
    </row>
  </sheetData>
  <pageMargins left="0.7" right="0.7" top="0.78740157499999996" bottom="0.78740157499999996" header="0.3" footer="0.3"/>
  <pageSetup paperSize="9" orientation="portrait" horizontalDpi="4294967295" verticalDpi="4294967295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F3005"/>
  <sheetViews>
    <sheetView showGridLines="0" zoomScaleNormal="100" workbookViewId="0"/>
  </sheetViews>
  <sheetFormatPr baseColWidth="10" defaultRowHeight="15" x14ac:dyDescent="0.25"/>
  <cols>
    <col min="1" max="1" width="8.5703125" style="17" customWidth="1"/>
    <col min="2" max="2" width="12.7109375" style="17" customWidth="1"/>
    <col min="3" max="3" width="11.7109375" style="17" customWidth="1"/>
    <col min="4" max="4" width="15.7109375" style="17" customWidth="1"/>
    <col min="5" max="5" width="13.7109375" style="17" customWidth="1"/>
    <col min="6" max="6" width="16.7109375" style="17" customWidth="1"/>
    <col min="7" max="7" width="12.7109375" style="17" customWidth="1"/>
    <col min="8" max="8" width="19" style="17" bestFit="1" customWidth="1"/>
    <col min="9" max="16384" width="11.42578125" style="17"/>
  </cols>
  <sheetData>
    <row r="1" spans="1:6" ht="45" customHeight="1" x14ac:dyDescent="0.7">
      <c r="A1" s="4"/>
      <c r="B1" s="14" t="s">
        <v>35</v>
      </c>
    </row>
    <row r="2" spans="1:6" x14ac:dyDescent="0.25">
      <c r="B2" s="17" t="s">
        <v>44</v>
      </c>
    </row>
    <row r="5" spans="1:6" x14ac:dyDescent="0.25">
      <c r="B5" s="25" t="s">
        <v>82</v>
      </c>
      <c r="C5" s="26" t="s">
        <v>7</v>
      </c>
      <c r="D5" s="18" t="s">
        <v>83</v>
      </c>
      <c r="E5" s="18" t="s">
        <v>84</v>
      </c>
      <c r="F5" s="18" t="s">
        <v>85</v>
      </c>
    </row>
    <row r="6" spans="1:6" x14ac:dyDescent="0.25">
      <c r="B6" s="27" t="s">
        <v>21</v>
      </c>
      <c r="C6" s="19">
        <f>40189+(3*365)</f>
        <v>41284</v>
      </c>
      <c r="D6" s="18" t="s">
        <v>58</v>
      </c>
      <c r="E6" s="18" t="s">
        <v>59</v>
      </c>
      <c r="F6" s="21">
        <v>26</v>
      </c>
    </row>
    <row r="7" spans="1:6" x14ac:dyDescent="0.25">
      <c r="B7" s="27" t="s">
        <v>11</v>
      </c>
      <c r="C7" s="19">
        <f>40340+(3*365)</f>
        <v>41435</v>
      </c>
      <c r="D7" s="18" t="s">
        <v>60</v>
      </c>
      <c r="E7" s="18" t="s">
        <v>61</v>
      </c>
      <c r="F7" s="21">
        <v>702</v>
      </c>
    </row>
    <row r="8" spans="1:6" x14ac:dyDescent="0.25">
      <c r="B8" s="27" t="s">
        <v>9</v>
      </c>
      <c r="C8" s="19">
        <f>40248+(3*365)</f>
        <v>41343</v>
      </c>
      <c r="D8" s="18" t="s">
        <v>62</v>
      </c>
      <c r="E8" s="18" t="s">
        <v>63</v>
      </c>
      <c r="F8" s="21">
        <v>310</v>
      </c>
    </row>
    <row r="9" spans="1:6" x14ac:dyDescent="0.25">
      <c r="B9" s="27" t="s">
        <v>9</v>
      </c>
      <c r="C9" s="19">
        <f>40645+(3*365)</f>
        <v>41740</v>
      </c>
      <c r="D9" s="18" t="s">
        <v>62</v>
      </c>
      <c r="E9" s="18" t="s">
        <v>61</v>
      </c>
      <c r="F9" s="21">
        <v>798</v>
      </c>
    </row>
    <row r="10" spans="1:6" x14ac:dyDescent="0.25">
      <c r="B10" s="27" t="s">
        <v>21</v>
      </c>
      <c r="C10" s="19">
        <f>41015+(3*365)</f>
        <v>42110</v>
      </c>
      <c r="D10" s="18" t="s">
        <v>58</v>
      </c>
      <c r="E10" s="18" t="s">
        <v>64</v>
      </c>
      <c r="F10" s="21">
        <v>11400</v>
      </c>
    </row>
    <row r="11" spans="1:6" x14ac:dyDescent="0.25">
      <c r="B11" s="27" t="s">
        <v>10</v>
      </c>
      <c r="C11" s="19">
        <f>40866+(3*365)</f>
        <v>41961</v>
      </c>
      <c r="D11" s="18" t="s">
        <v>65</v>
      </c>
      <c r="E11" s="18" t="s">
        <v>66</v>
      </c>
      <c r="F11" s="21">
        <v>480</v>
      </c>
    </row>
    <row r="12" spans="1:6" x14ac:dyDescent="0.25">
      <c r="B12" s="27" t="s">
        <v>10</v>
      </c>
      <c r="C12" s="19">
        <f>40918+(3*365)</f>
        <v>42013</v>
      </c>
      <c r="D12" s="18" t="s">
        <v>67</v>
      </c>
      <c r="E12" s="18" t="s">
        <v>64</v>
      </c>
      <c r="F12" s="21">
        <v>1167</v>
      </c>
    </row>
    <row r="13" spans="1:6" x14ac:dyDescent="0.25">
      <c r="B13" s="27" t="s">
        <v>18</v>
      </c>
      <c r="C13" s="19">
        <f>39832+(3*365)</f>
        <v>40927</v>
      </c>
      <c r="D13" s="18" t="s">
        <v>68</v>
      </c>
      <c r="E13" s="18" t="s">
        <v>69</v>
      </c>
      <c r="F13" s="21">
        <v>900</v>
      </c>
    </row>
    <row r="14" spans="1:6" x14ac:dyDescent="0.25">
      <c r="B14" s="27" t="s">
        <v>21</v>
      </c>
      <c r="C14" s="19">
        <f>40249+(3*365)</f>
        <v>41344</v>
      </c>
      <c r="D14" s="18" t="s">
        <v>58</v>
      </c>
      <c r="E14" s="18" t="s">
        <v>69</v>
      </c>
      <c r="F14" s="21">
        <v>1648</v>
      </c>
    </row>
    <row r="15" spans="1:6" x14ac:dyDescent="0.25">
      <c r="B15" s="27" t="s">
        <v>31</v>
      </c>
      <c r="C15" s="19">
        <f>40714+(3*365)</f>
        <v>41809</v>
      </c>
      <c r="D15" s="18" t="s">
        <v>70</v>
      </c>
      <c r="E15" s="18" t="s">
        <v>59</v>
      </c>
      <c r="F15" s="21">
        <v>540</v>
      </c>
    </row>
    <row r="16" spans="1:6" x14ac:dyDescent="0.25">
      <c r="B16" s="27" t="s">
        <v>18</v>
      </c>
      <c r="C16" s="19">
        <f>40241+(3*365)</f>
        <v>41336</v>
      </c>
      <c r="D16" s="18" t="s">
        <v>71</v>
      </c>
      <c r="E16" s="18" t="s">
        <v>72</v>
      </c>
      <c r="F16" s="21">
        <v>276</v>
      </c>
    </row>
    <row r="17" spans="2:6" x14ac:dyDescent="0.25">
      <c r="B17" s="27" t="s">
        <v>11</v>
      </c>
      <c r="C17" s="19">
        <f>39895+(3*365)</f>
        <v>40990</v>
      </c>
      <c r="D17" s="18" t="s">
        <v>60</v>
      </c>
      <c r="E17" s="18" t="s">
        <v>72</v>
      </c>
      <c r="F17" s="21">
        <v>1056</v>
      </c>
    </row>
    <row r="18" spans="2:6" x14ac:dyDescent="0.25">
      <c r="B18" s="27" t="s">
        <v>21</v>
      </c>
      <c r="C18" s="19">
        <f>41270+(3*365)</f>
        <v>42365</v>
      </c>
      <c r="D18" s="18" t="s">
        <v>73</v>
      </c>
      <c r="E18" s="18" t="s">
        <v>72</v>
      </c>
      <c r="F18" s="21">
        <v>4648</v>
      </c>
    </row>
    <row r="19" spans="2:6" x14ac:dyDescent="0.25">
      <c r="B19" s="27" t="s">
        <v>18</v>
      </c>
      <c r="C19" s="19">
        <f>39866+(3*365)</f>
        <v>40961</v>
      </c>
      <c r="D19" s="18" t="s">
        <v>71</v>
      </c>
      <c r="E19" s="18" t="s">
        <v>61</v>
      </c>
      <c r="F19" s="21">
        <v>390</v>
      </c>
    </row>
    <row r="20" spans="2:6" x14ac:dyDescent="0.25">
      <c r="B20" s="27" t="s">
        <v>11</v>
      </c>
      <c r="C20" s="19">
        <f>40764+(3*365)</f>
        <v>41859</v>
      </c>
      <c r="D20" s="18" t="s">
        <v>74</v>
      </c>
      <c r="E20" s="18" t="s">
        <v>75</v>
      </c>
      <c r="F20" s="21">
        <v>408</v>
      </c>
    </row>
    <row r="21" spans="2:6" x14ac:dyDescent="0.25">
      <c r="B21" s="27" t="s">
        <v>18</v>
      </c>
      <c r="C21" s="19">
        <f>41130+(3*365)</f>
        <v>42225</v>
      </c>
      <c r="D21" s="18" t="s">
        <v>68</v>
      </c>
      <c r="E21" s="18" t="s">
        <v>72</v>
      </c>
      <c r="F21" s="21">
        <v>2394</v>
      </c>
    </row>
    <row r="22" spans="2:6" x14ac:dyDescent="0.25">
      <c r="B22" s="27" t="s">
        <v>10</v>
      </c>
      <c r="C22" s="19">
        <f>41100+(3*365)</f>
        <v>42195</v>
      </c>
      <c r="D22" s="18" t="s">
        <v>67</v>
      </c>
      <c r="E22" s="18" t="s">
        <v>63</v>
      </c>
      <c r="F22" s="21">
        <v>204</v>
      </c>
    </row>
    <row r="23" spans="2:6" x14ac:dyDescent="0.25">
      <c r="B23" s="27" t="s">
        <v>11</v>
      </c>
      <c r="C23" s="19">
        <f>40003+(3*365)</f>
        <v>41098</v>
      </c>
      <c r="D23" s="18" t="s">
        <v>60</v>
      </c>
      <c r="E23" s="18" t="s">
        <v>69</v>
      </c>
      <c r="F23" s="21">
        <v>1404</v>
      </c>
    </row>
    <row r="24" spans="2:6" x14ac:dyDescent="0.25">
      <c r="B24" s="27" t="s">
        <v>31</v>
      </c>
      <c r="C24" s="19">
        <f>41045+(3*365)</f>
        <v>42140</v>
      </c>
      <c r="D24" s="18" t="s">
        <v>76</v>
      </c>
      <c r="E24" s="18" t="s">
        <v>69</v>
      </c>
      <c r="F24" s="21">
        <v>180</v>
      </c>
    </row>
    <row r="25" spans="2:6" x14ac:dyDescent="0.25">
      <c r="B25" s="27" t="s">
        <v>18</v>
      </c>
      <c r="C25" s="19">
        <f>40121+(3*365)</f>
        <v>41216</v>
      </c>
      <c r="D25" s="18" t="s">
        <v>71</v>
      </c>
      <c r="E25" s="18" t="s">
        <v>63</v>
      </c>
      <c r="F25" s="21">
        <v>552</v>
      </c>
    </row>
    <row r="26" spans="2:6" x14ac:dyDescent="0.25">
      <c r="B26" s="27" t="s">
        <v>8</v>
      </c>
      <c r="C26" s="19">
        <f>40553+(3*365)</f>
        <v>41648</v>
      </c>
      <c r="D26" s="18" t="s">
        <v>77</v>
      </c>
      <c r="E26" s="18" t="s">
        <v>64</v>
      </c>
      <c r="F26" s="21">
        <v>17280</v>
      </c>
    </row>
    <row r="27" spans="2:6" x14ac:dyDescent="0.25">
      <c r="B27" s="27" t="s">
        <v>18</v>
      </c>
      <c r="C27" s="19">
        <f>40600+(3*365)</f>
        <v>41695</v>
      </c>
      <c r="D27" s="18" t="s">
        <v>71</v>
      </c>
      <c r="E27" s="18" t="s">
        <v>63</v>
      </c>
      <c r="F27" s="21">
        <v>1092</v>
      </c>
    </row>
    <row r="28" spans="2:6" x14ac:dyDescent="0.25">
      <c r="B28" s="27" t="s">
        <v>18</v>
      </c>
      <c r="C28" s="19">
        <f>40059+(3*365)</f>
        <v>41154</v>
      </c>
      <c r="D28" s="18" t="s">
        <v>71</v>
      </c>
      <c r="E28" s="18" t="s">
        <v>61</v>
      </c>
      <c r="F28" s="21">
        <v>224</v>
      </c>
    </row>
    <row r="29" spans="2:6" x14ac:dyDescent="0.25">
      <c r="B29" s="27" t="s">
        <v>8</v>
      </c>
      <c r="C29" s="19">
        <f>40936+(3*365)</f>
        <v>42031</v>
      </c>
      <c r="D29" s="18" t="s">
        <v>77</v>
      </c>
      <c r="E29" s="18" t="s">
        <v>61</v>
      </c>
      <c r="F29" s="21">
        <v>720</v>
      </c>
    </row>
    <row r="30" spans="2:6" x14ac:dyDescent="0.25">
      <c r="B30" s="27" t="s">
        <v>11</v>
      </c>
      <c r="C30" s="19">
        <f>40755+(3*365)</f>
        <v>41850</v>
      </c>
      <c r="D30" s="18" t="s">
        <v>74</v>
      </c>
      <c r="E30" s="18" t="s">
        <v>66</v>
      </c>
      <c r="F30" s="21">
        <v>996</v>
      </c>
    </row>
    <row r="31" spans="2:6" x14ac:dyDescent="0.25">
      <c r="B31" s="27" t="s">
        <v>31</v>
      </c>
      <c r="C31" s="19">
        <f>39995+(3*365)</f>
        <v>41090</v>
      </c>
      <c r="D31" s="18" t="s">
        <v>76</v>
      </c>
      <c r="E31" s="18" t="s">
        <v>59</v>
      </c>
      <c r="F31" s="21">
        <v>66</v>
      </c>
    </row>
    <row r="32" spans="2:6" x14ac:dyDescent="0.25">
      <c r="B32" s="27" t="s">
        <v>25</v>
      </c>
      <c r="C32" s="19">
        <f>41194+(3*365)</f>
        <v>42289</v>
      </c>
      <c r="D32" s="18" t="s">
        <v>78</v>
      </c>
      <c r="E32" s="18" t="s">
        <v>72</v>
      </c>
      <c r="F32" s="21">
        <v>176</v>
      </c>
    </row>
    <row r="33" spans="2:6" x14ac:dyDescent="0.25">
      <c r="B33" s="27" t="s">
        <v>31</v>
      </c>
      <c r="C33" s="19">
        <f>40453+(3*365)</f>
        <v>41548</v>
      </c>
      <c r="D33" s="18" t="s">
        <v>76</v>
      </c>
      <c r="E33" s="18" t="s">
        <v>69</v>
      </c>
      <c r="F33" s="21">
        <v>2214</v>
      </c>
    </row>
    <row r="34" spans="2:6" x14ac:dyDescent="0.25">
      <c r="B34" s="27" t="s">
        <v>8</v>
      </c>
      <c r="C34" s="19">
        <f>40678+(3*365)</f>
        <v>41773</v>
      </c>
      <c r="D34" s="18" t="s">
        <v>77</v>
      </c>
      <c r="E34" s="18" t="s">
        <v>59</v>
      </c>
      <c r="F34" s="21">
        <v>280</v>
      </c>
    </row>
    <row r="35" spans="2:6" x14ac:dyDescent="0.25">
      <c r="B35" s="27" t="s">
        <v>25</v>
      </c>
      <c r="C35" s="19">
        <f>41202+(3*365)</f>
        <v>42297</v>
      </c>
      <c r="D35" s="18" t="s">
        <v>78</v>
      </c>
      <c r="E35" s="18" t="s">
        <v>66</v>
      </c>
      <c r="F35" s="21">
        <v>672</v>
      </c>
    </row>
    <row r="36" spans="2:6" x14ac:dyDescent="0.25">
      <c r="B36" s="27" t="s">
        <v>9</v>
      </c>
      <c r="C36" s="19">
        <f>41050+(3*365)</f>
        <v>42145</v>
      </c>
      <c r="D36" s="18" t="s">
        <v>62</v>
      </c>
      <c r="E36" s="18" t="s">
        <v>59</v>
      </c>
      <c r="F36" s="21">
        <v>154</v>
      </c>
    </row>
    <row r="37" spans="2:6" x14ac:dyDescent="0.25">
      <c r="B37" s="27" t="s">
        <v>25</v>
      </c>
      <c r="C37" s="19">
        <f>40726+(3*365)</f>
        <v>41821</v>
      </c>
      <c r="D37" s="18" t="s">
        <v>79</v>
      </c>
      <c r="E37" s="18" t="s">
        <v>63</v>
      </c>
      <c r="F37" s="21">
        <v>1312</v>
      </c>
    </row>
    <row r="38" spans="2:6" x14ac:dyDescent="0.25">
      <c r="B38" s="27" t="s">
        <v>11</v>
      </c>
      <c r="C38" s="19">
        <f>39839+(3*365)</f>
        <v>40934</v>
      </c>
      <c r="D38" s="18" t="s">
        <v>60</v>
      </c>
      <c r="E38" s="18" t="s">
        <v>66</v>
      </c>
      <c r="F38" s="21">
        <v>237</v>
      </c>
    </row>
    <row r="39" spans="2:6" x14ac:dyDescent="0.25">
      <c r="B39" s="27" t="s">
        <v>21</v>
      </c>
      <c r="C39" s="19">
        <f>40954+(3*365)</f>
        <v>42049</v>
      </c>
      <c r="D39" s="18" t="s">
        <v>73</v>
      </c>
      <c r="E39" s="18" t="s">
        <v>72</v>
      </c>
      <c r="F39" s="21">
        <v>6048</v>
      </c>
    </row>
    <row r="40" spans="2:6" x14ac:dyDescent="0.25">
      <c r="B40" s="27" t="s">
        <v>9</v>
      </c>
      <c r="C40" s="19">
        <f>39917+(3*365)</f>
        <v>41012</v>
      </c>
      <c r="D40" s="18" t="s">
        <v>80</v>
      </c>
      <c r="E40" s="18" t="s">
        <v>75</v>
      </c>
      <c r="F40" s="21">
        <v>140</v>
      </c>
    </row>
    <row r="41" spans="2:6" x14ac:dyDescent="0.25">
      <c r="B41" s="27" t="s">
        <v>9</v>
      </c>
      <c r="C41" s="19">
        <f>40158+(3*365)</f>
        <v>41253</v>
      </c>
      <c r="D41" s="18" t="s">
        <v>62</v>
      </c>
      <c r="E41" s="18" t="s">
        <v>69</v>
      </c>
      <c r="F41" s="21">
        <v>510</v>
      </c>
    </row>
    <row r="42" spans="2:6" x14ac:dyDescent="0.25">
      <c r="B42" s="27" t="s">
        <v>8</v>
      </c>
      <c r="C42" s="19">
        <f>40225+(3*365)</f>
        <v>41320</v>
      </c>
      <c r="D42" s="18" t="s">
        <v>77</v>
      </c>
      <c r="E42" s="18" t="s">
        <v>64</v>
      </c>
      <c r="F42" s="21">
        <v>4848</v>
      </c>
    </row>
    <row r="43" spans="2:6" x14ac:dyDescent="0.25">
      <c r="B43" s="27" t="s">
        <v>8</v>
      </c>
      <c r="C43" s="19">
        <f>39886+(3*365)</f>
        <v>40981</v>
      </c>
      <c r="D43" s="18" t="s">
        <v>81</v>
      </c>
      <c r="E43" s="18" t="s">
        <v>61</v>
      </c>
      <c r="F43" s="21">
        <v>1332</v>
      </c>
    </row>
    <row r="44" spans="2:6" x14ac:dyDescent="0.25">
      <c r="B44" s="27" t="s">
        <v>9</v>
      </c>
      <c r="C44" s="19">
        <f>39876+(3*365)</f>
        <v>40971</v>
      </c>
      <c r="D44" s="18" t="s">
        <v>80</v>
      </c>
      <c r="E44" s="18" t="s">
        <v>66</v>
      </c>
      <c r="F44" s="21">
        <v>68</v>
      </c>
    </row>
    <row r="45" spans="2:6" x14ac:dyDescent="0.25">
      <c r="B45" s="27" t="s">
        <v>10</v>
      </c>
      <c r="C45" s="19">
        <f>39884+(3*365)</f>
        <v>40979</v>
      </c>
      <c r="D45" s="18" t="s">
        <v>65</v>
      </c>
      <c r="E45" s="18" t="s">
        <v>63</v>
      </c>
      <c r="F45" s="21">
        <v>244</v>
      </c>
    </row>
    <row r="46" spans="2:6" x14ac:dyDescent="0.25">
      <c r="B46" s="27" t="s">
        <v>9</v>
      </c>
      <c r="C46" s="19">
        <f>41073+(3*365)</f>
        <v>42168</v>
      </c>
      <c r="D46" s="18" t="s">
        <v>80</v>
      </c>
      <c r="E46" s="18" t="s">
        <v>61</v>
      </c>
      <c r="F46" s="21">
        <v>372</v>
      </c>
    </row>
    <row r="47" spans="2:6" x14ac:dyDescent="0.25">
      <c r="B47" s="27" t="s">
        <v>10</v>
      </c>
      <c r="C47" s="19">
        <f>40989+(3*365)</f>
        <v>42084</v>
      </c>
      <c r="D47" s="18" t="s">
        <v>67</v>
      </c>
      <c r="E47" s="18" t="s">
        <v>72</v>
      </c>
      <c r="F47" s="21">
        <v>2475</v>
      </c>
    </row>
    <row r="48" spans="2:6" x14ac:dyDescent="0.25">
      <c r="B48" s="27" t="s">
        <v>21</v>
      </c>
      <c r="C48" s="19">
        <f>40098+(3*365)</f>
        <v>41193</v>
      </c>
      <c r="D48" s="18" t="s">
        <v>58</v>
      </c>
      <c r="E48" s="18" t="s">
        <v>72</v>
      </c>
      <c r="F48" s="21">
        <v>320</v>
      </c>
    </row>
    <row r="49" spans="2:6" x14ac:dyDescent="0.25">
      <c r="B49" s="27" t="s">
        <v>11</v>
      </c>
      <c r="C49" s="19">
        <f>40886+(3*365)</f>
        <v>41981</v>
      </c>
      <c r="D49" s="18" t="s">
        <v>60</v>
      </c>
      <c r="E49" s="18" t="s">
        <v>63</v>
      </c>
      <c r="F49" s="21">
        <v>414</v>
      </c>
    </row>
    <row r="50" spans="2:6" x14ac:dyDescent="0.25">
      <c r="B50" s="27" t="s">
        <v>8</v>
      </c>
      <c r="C50" s="19">
        <f>40945+(3*365)</f>
        <v>42040</v>
      </c>
      <c r="D50" s="18" t="s">
        <v>77</v>
      </c>
      <c r="E50" s="18" t="s">
        <v>72</v>
      </c>
      <c r="F50" s="21">
        <v>5600</v>
      </c>
    </row>
    <row r="51" spans="2:6" x14ac:dyDescent="0.25">
      <c r="B51" s="27" t="s">
        <v>8</v>
      </c>
      <c r="C51" s="19">
        <f>41157+(3*365)</f>
        <v>42252</v>
      </c>
      <c r="D51" s="18" t="s">
        <v>77</v>
      </c>
      <c r="E51" s="18" t="s">
        <v>66</v>
      </c>
      <c r="F51" s="21">
        <v>816</v>
      </c>
    </row>
    <row r="52" spans="2:6" x14ac:dyDescent="0.25">
      <c r="B52" s="27" t="s">
        <v>21</v>
      </c>
      <c r="C52" s="19">
        <f>40709+(3*365)</f>
        <v>41804</v>
      </c>
      <c r="D52" s="18" t="s">
        <v>73</v>
      </c>
      <c r="E52" s="18" t="s">
        <v>59</v>
      </c>
      <c r="F52" s="21">
        <v>495</v>
      </c>
    </row>
    <row r="53" spans="2:6" x14ac:dyDescent="0.25">
      <c r="B53" s="27" t="s">
        <v>11</v>
      </c>
      <c r="C53" s="19">
        <f>40200+(3*365)</f>
        <v>41295</v>
      </c>
      <c r="D53" s="18" t="s">
        <v>60</v>
      </c>
      <c r="E53" s="18" t="s">
        <v>64</v>
      </c>
      <c r="F53" s="21">
        <v>9180</v>
      </c>
    </row>
    <row r="54" spans="2:6" x14ac:dyDescent="0.25">
      <c r="B54" s="27" t="s">
        <v>11</v>
      </c>
      <c r="C54" s="19">
        <f>40404+(3*365)</f>
        <v>41499</v>
      </c>
      <c r="D54" s="18" t="s">
        <v>74</v>
      </c>
      <c r="E54" s="18" t="s">
        <v>59</v>
      </c>
      <c r="F54" s="21">
        <v>945</v>
      </c>
    </row>
    <row r="55" spans="2:6" x14ac:dyDescent="0.25">
      <c r="B55" s="27" t="s">
        <v>25</v>
      </c>
      <c r="C55" s="19">
        <f>40691+(3*365)</f>
        <v>41786</v>
      </c>
      <c r="D55" s="18" t="s">
        <v>78</v>
      </c>
      <c r="E55" s="18" t="s">
        <v>59</v>
      </c>
      <c r="F55" s="21">
        <v>672</v>
      </c>
    </row>
    <row r="56" spans="2:6" x14ac:dyDescent="0.25">
      <c r="B56" s="27" t="s">
        <v>10</v>
      </c>
      <c r="C56" s="19">
        <f>40334+(3*365)</f>
        <v>41429</v>
      </c>
      <c r="D56" s="18" t="s">
        <v>65</v>
      </c>
      <c r="E56" s="18" t="s">
        <v>66</v>
      </c>
      <c r="F56" s="21">
        <v>459</v>
      </c>
    </row>
    <row r="57" spans="2:6" x14ac:dyDescent="0.25">
      <c r="B57" s="27" t="s">
        <v>11</v>
      </c>
      <c r="C57" s="19">
        <f>40938+(3*365)</f>
        <v>42033</v>
      </c>
      <c r="D57" s="18" t="s">
        <v>74</v>
      </c>
      <c r="E57" s="18" t="s">
        <v>72</v>
      </c>
      <c r="F57" s="21">
        <v>1896</v>
      </c>
    </row>
    <row r="58" spans="2:6" x14ac:dyDescent="0.25">
      <c r="B58" s="27" t="s">
        <v>25</v>
      </c>
      <c r="C58" s="19">
        <f>41105+(3*365)</f>
        <v>42200</v>
      </c>
      <c r="D58" s="18" t="s">
        <v>79</v>
      </c>
      <c r="E58" s="18" t="s">
        <v>66</v>
      </c>
      <c r="F58" s="21">
        <v>192</v>
      </c>
    </row>
    <row r="59" spans="2:6" x14ac:dyDescent="0.25">
      <c r="B59" s="27" t="s">
        <v>25</v>
      </c>
      <c r="C59" s="19">
        <f>41203+(3*365)</f>
        <v>42298</v>
      </c>
      <c r="D59" s="18" t="s">
        <v>79</v>
      </c>
      <c r="E59" s="18" t="s">
        <v>63</v>
      </c>
      <c r="F59" s="21">
        <v>738</v>
      </c>
    </row>
    <row r="60" spans="2:6" x14ac:dyDescent="0.25">
      <c r="B60" s="27" t="s">
        <v>21</v>
      </c>
      <c r="C60" s="19">
        <f>40131+(3*365)</f>
        <v>41226</v>
      </c>
      <c r="D60" s="18" t="s">
        <v>73</v>
      </c>
      <c r="E60" s="18" t="s">
        <v>59</v>
      </c>
      <c r="F60" s="21">
        <v>80</v>
      </c>
    </row>
    <row r="61" spans="2:6" x14ac:dyDescent="0.25">
      <c r="B61" s="27" t="s">
        <v>21</v>
      </c>
      <c r="C61" s="19">
        <f>40785+(3*365)</f>
        <v>41880</v>
      </c>
      <c r="D61" s="18" t="s">
        <v>58</v>
      </c>
      <c r="E61" s="18" t="s">
        <v>63</v>
      </c>
      <c r="F61" s="21">
        <v>1566</v>
      </c>
    </row>
    <row r="62" spans="2:6" x14ac:dyDescent="0.25">
      <c r="B62" s="27" t="s">
        <v>9</v>
      </c>
      <c r="C62" s="19">
        <f>39965+(3*365)</f>
        <v>41060</v>
      </c>
      <c r="D62" s="18" t="s">
        <v>80</v>
      </c>
      <c r="E62" s="18" t="s">
        <v>63</v>
      </c>
      <c r="F62" s="21">
        <v>62</v>
      </c>
    </row>
    <row r="63" spans="2:6" x14ac:dyDescent="0.25">
      <c r="B63" s="27" t="s">
        <v>10</v>
      </c>
      <c r="C63" s="19">
        <f>41252+(3*365)</f>
        <v>42347</v>
      </c>
      <c r="D63" s="18" t="s">
        <v>67</v>
      </c>
      <c r="E63" s="18" t="s">
        <v>59</v>
      </c>
      <c r="F63" s="21">
        <v>87</v>
      </c>
    </row>
    <row r="64" spans="2:6" x14ac:dyDescent="0.25">
      <c r="B64" s="27" t="s">
        <v>25</v>
      </c>
      <c r="C64" s="19">
        <f>41092+(3*365)</f>
        <v>42187</v>
      </c>
      <c r="D64" s="18" t="s">
        <v>78</v>
      </c>
      <c r="E64" s="18" t="s">
        <v>69</v>
      </c>
      <c r="F64" s="21">
        <v>1746</v>
      </c>
    </row>
    <row r="65" spans="2:6" x14ac:dyDescent="0.25">
      <c r="B65" s="27" t="s">
        <v>31</v>
      </c>
      <c r="C65" s="19">
        <f>40524+(3*365)</f>
        <v>41619</v>
      </c>
      <c r="D65" s="18" t="s">
        <v>70</v>
      </c>
      <c r="E65" s="18" t="s">
        <v>75</v>
      </c>
      <c r="F65" s="21">
        <v>696</v>
      </c>
    </row>
    <row r="66" spans="2:6" x14ac:dyDescent="0.25">
      <c r="B66" s="27" t="s">
        <v>11</v>
      </c>
      <c r="C66" s="19">
        <f>40687+(3*365)</f>
        <v>41782</v>
      </c>
      <c r="D66" s="18" t="s">
        <v>60</v>
      </c>
      <c r="E66" s="18" t="s">
        <v>61</v>
      </c>
      <c r="F66" s="21">
        <v>504</v>
      </c>
    </row>
    <row r="67" spans="2:6" x14ac:dyDescent="0.25">
      <c r="B67" s="27" t="s">
        <v>9</v>
      </c>
      <c r="C67" s="19">
        <f>39830+(3*365)</f>
        <v>40925</v>
      </c>
      <c r="D67" s="18" t="s">
        <v>62</v>
      </c>
      <c r="E67" s="18" t="s">
        <v>59</v>
      </c>
      <c r="F67" s="21">
        <v>272</v>
      </c>
    </row>
    <row r="68" spans="2:6" x14ac:dyDescent="0.25">
      <c r="B68" s="27" t="s">
        <v>10</v>
      </c>
      <c r="C68" s="19">
        <f>41122+(3*365)</f>
        <v>42217</v>
      </c>
      <c r="D68" s="18" t="s">
        <v>65</v>
      </c>
      <c r="E68" s="18" t="s">
        <v>63</v>
      </c>
      <c r="F68" s="21">
        <v>672</v>
      </c>
    </row>
    <row r="69" spans="2:6" x14ac:dyDescent="0.25">
      <c r="B69" s="27" t="s">
        <v>18</v>
      </c>
      <c r="C69" s="19">
        <f>40296+(3*365)</f>
        <v>41391</v>
      </c>
      <c r="D69" s="18" t="s">
        <v>68</v>
      </c>
      <c r="E69" s="18" t="s">
        <v>59</v>
      </c>
      <c r="F69" s="21">
        <v>888</v>
      </c>
    </row>
    <row r="70" spans="2:6" x14ac:dyDescent="0.25">
      <c r="B70" s="27" t="s">
        <v>9</v>
      </c>
      <c r="C70" s="19">
        <f>39850+(3*365)</f>
        <v>40945</v>
      </c>
      <c r="D70" s="18" t="s">
        <v>80</v>
      </c>
      <c r="E70" s="18" t="s">
        <v>66</v>
      </c>
      <c r="F70" s="21">
        <v>768</v>
      </c>
    </row>
    <row r="71" spans="2:6" x14ac:dyDescent="0.25">
      <c r="B71" s="27" t="s">
        <v>8</v>
      </c>
      <c r="C71" s="19">
        <f>40468+(3*365)</f>
        <v>41563</v>
      </c>
      <c r="D71" s="18" t="s">
        <v>81</v>
      </c>
      <c r="E71" s="18" t="s">
        <v>64</v>
      </c>
      <c r="F71" s="21">
        <v>22016</v>
      </c>
    </row>
    <row r="72" spans="2:6" x14ac:dyDescent="0.25">
      <c r="B72" s="27" t="s">
        <v>21</v>
      </c>
      <c r="C72" s="19">
        <f>40304+(3*365)</f>
        <v>41399</v>
      </c>
      <c r="D72" s="18" t="s">
        <v>58</v>
      </c>
      <c r="E72" s="18" t="s">
        <v>66</v>
      </c>
      <c r="F72" s="21">
        <v>480</v>
      </c>
    </row>
    <row r="73" spans="2:6" x14ac:dyDescent="0.25">
      <c r="B73" s="27" t="s">
        <v>31</v>
      </c>
      <c r="C73" s="19">
        <f>40880+(3*365)</f>
        <v>41975</v>
      </c>
      <c r="D73" s="18" t="s">
        <v>76</v>
      </c>
      <c r="E73" s="18" t="s">
        <v>63</v>
      </c>
      <c r="F73" s="21">
        <v>840</v>
      </c>
    </row>
    <row r="74" spans="2:6" x14ac:dyDescent="0.25">
      <c r="B74" s="27" t="s">
        <v>8</v>
      </c>
      <c r="C74" s="19">
        <f>40271+(3*365)</f>
        <v>41366</v>
      </c>
      <c r="D74" s="18" t="s">
        <v>77</v>
      </c>
      <c r="E74" s="18" t="s">
        <v>66</v>
      </c>
      <c r="F74" s="21">
        <v>2720</v>
      </c>
    </row>
    <row r="75" spans="2:6" x14ac:dyDescent="0.25">
      <c r="B75" s="27" t="s">
        <v>8</v>
      </c>
      <c r="C75" s="19">
        <f>39951+(3*365)</f>
        <v>41046</v>
      </c>
      <c r="D75" s="18" t="s">
        <v>81</v>
      </c>
      <c r="E75" s="18" t="s">
        <v>61</v>
      </c>
      <c r="F75" s="21">
        <v>1152</v>
      </c>
    </row>
    <row r="76" spans="2:6" x14ac:dyDescent="0.25">
      <c r="B76" s="27" t="s">
        <v>9</v>
      </c>
      <c r="C76" s="19">
        <f>40207+(3*365)</f>
        <v>41302</v>
      </c>
      <c r="D76" s="18" t="s">
        <v>80</v>
      </c>
      <c r="E76" s="18" t="s">
        <v>61</v>
      </c>
      <c r="F76" s="21">
        <v>644</v>
      </c>
    </row>
    <row r="77" spans="2:6" x14ac:dyDescent="0.25">
      <c r="B77" s="27" t="s">
        <v>10</v>
      </c>
      <c r="C77" s="19">
        <f>41191+(3*365)</f>
        <v>42286</v>
      </c>
      <c r="D77" s="18" t="s">
        <v>67</v>
      </c>
      <c r="E77" s="18" t="s">
        <v>75</v>
      </c>
      <c r="F77" s="21">
        <v>162</v>
      </c>
    </row>
    <row r="78" spans="2:6" x14ac:dyDescent="0.25">
      <c r="B78" s="27" t="s">
        <v>9</v>
      </c>
      <c r="C78" s="19">
        <f>40317+(3*365)</f>
        <v>41412</v>
      </c>
      <c r="D78" s="18" t="s">
        <v>80</v>
      </c>
      <c r="E78" s="18" t="s">
        <v>64</v>
      </c>
      <c r="F78" s="21">
        <v>6840</v>
      </c>
    </row>
    <row r="79" spans="2:6" x14ac:dyDescent="0.25">
      <c r="B79" s="27" t="s">
        <v>18</v>
      </c>
      <c r="C79" s="19">
        <f>40412+(3*365)</f>
        <v>41507</v>
      </c>
      <c r="D79" s="18" t="s">
        <v>71</v>
      </c>
      <c r="E79" s="18" t="s">
        <v>72</v>
      </c>
      <c r="F79" s="21">
        <v>606</v>
      </c>
    </row>
    <row r="80" spans="2:6" x14ac:dyDescent="0.25">
      <c r="B80" s="27" t="s">
        <v>31</v>
      </c>
      <c r="C80" s="19">
        <f>40682+(3*365)</f>
        <v>41777</v>
      </c>
      <c r="D80" s="18" t="s">
        <v>70</v>
      </c>
      <c r="E80" s="18" t="s">
        <v>59</v>
      </c>
      <c r="F80" s="21">
        <v>216</v>
      </c>
    </row>
    <row r="81" spans="2:6" x14ac:dyDescent="0.25">
      <c r="B81" s="27" t="s">
        <v>31</v>
      </c>
      <c r="C81" s="19">
        <f>40969+(3*365)</f>
        <v>42064</v>
      </c>
      <c r="D81" s="18" t="s">
        <v>70</v>
      </c>
      <c r="E81" s="18" t="s">
        <v>64</v>
      </c>
      <c r="F81" s="21">
        <v>4644</v>
      </c>
    </row>
    <row r="82" spans="2:6" x14ac:dyDescent="0.25">
      <c r="B82" s="27" t="s">
        <v>31</v>
      </c>
      <c r="C82" s="19">
        <f>39941+(3*365)</f>
        <v>41036</v>
      </c>
      <c r="D82" s="18" t="s">
        <v>70</v>
      </c>
      <c r="E82" s="18" t="s">
        <v>69</v>
      </c>
      <c r="F82" s="21">
        <v>924</v>
      </c>
    </row>
    <row r="83" spans="2:6" x14ac:dyDescent="0.25">
      <c r="B83" s="27" t="s">
        <v>11</v>
      </c>
      <c r="C83" s="19">
        <f>40410+(3*365)</f>
        <v>41505</v>
      </c>
      <c r="D83" s="18" t="s">
        <v>60</v>
      </c>
      <c r="E83" s="18" t="s">
        <v>75</v>
      </c>
      <c r="F83" s="21">
        <v>84</v>
      </c>
    </row>
    <row r="84" spans="2:6" x14ac:dyDescent="0.25">
      <c r="B84" s="27" t="s">
        <v>10</v>
      </c>
      <c r="C84" s="19">
        <f>40796+(3*365)</f>
        <v>41891</v>
      </c>
      <c r="D84" s="18" t="s">
        <v>65</v>
      </c>
      <c r="E84" s="18" t="s">
        <v>64</v>
      </c>
      <c r="F84" s="21">
        <v>1316</v>
      </c>
    </row>
    <row r="85" spans="2:6" x14ac:dyDescent="0.25">
      <c r="B85" s="27" t="s">
        <v>18</v>
      </c>
      <c r="C85" s="19">
        <f>40955+(3*365)</f>
        <v>42050</v>
      </c>
      <c r="D85" s="18" t="s">
        <v>68</v>
      </c>
      <c r="E85" s="18" t="s">
        <v>72</v>
      </c>
      <c r="F85" s="21">
        <v>675</v>
      </c>
    </row>
    <row r="86" spans="2:6" x14ac:dyDescent="0.25">
      <c r="B86" s="27" t="s">
        <v>10</v>
      </c>
      <c r="C86" s="19">
        <f>40766+(3*365)</f>
        <v>41861</v>
      </c>
      <c r="D86" s="18" t="s">
        <v>65</v>
      </c>
      <c r="E86" s="18" t="s">
        <v>75</v>
      </c>
      <c r="F86" s="21">
        <v>406</v>
      </c>
    </row>
    <row r="87" spans="2:6" x14ac:dyDescent="0.25">
      <c r="B87" s="27" t="s">
        <v>21</v>
      </c>
      <c r="C87" s="19">
        <f>40485+(3*365)</f>
        <v>41580</v>
      </c>
      <c r="D87" s="18" t="s">
        <v>58</v>
      </c>
      <c r="E87" s="18" t="s">
        <v>64</v>
      </c>
      <c r="F87" s="21">
        <v>736</v>
      </c>
    </row>
    <row r="88" spans="2:6" x14ac:dyDescent="0.25">
      <c r="B88" s="27" t="s">
        <v>8</v>
      </c>
      <c r="C88" s="19">
        <f>39860+(3*365)</f>
        <v>40955</v>
      </c>
      <c r="D88" s="18" t="s">
        <v>81</v>
      </c>
      <c r="E88" s="18" t="s">
        <v>75</v>
      </c>
      <c r="F88" s="21">
        <v>186</v>
      </c>
    </row>
    <row r="89" spans="2:6" x14ac:dyDescent="0.25">
      <c r="B89" s="27" t="s">
        <v>21</v>
      </c>
      <c r="C89" s="19">
        <f>40724+(3*365)</f>
        <v>41819</v>
      </c>
      <c r="D89" s="18" t="s">
        <v>73</v>
      </c>
      <c r="E89" s="18" t="s">
        <v>64</v>
      </c>
      <c r="F89" s="21">
        <v>19683</v>
      </c>
    </row>
    <row r="90" spans="2:6" x14ac:dyDescent="0.25">
      <c r="B90" s="27" t="s">
        <v>10</v>
      </c>
      <c r="C90" s="19">
        <f>40624+(3*365)</f>
        <v>41719</v>
      </c>
      <c r="D90" s="18" t="s">
        <v>65</v>
      </c>
      <c r="E90" s="18" t="s">
        <v>59</v>
      </c>
      <c r="F90" s="21">
        <v>306</v>
      </c>
    </row>
    <row r="91" spans="2:6" x14ac:dyDescent="0.25">
      <c r="B91" s="27" t="s">
        <v>9</v>
      </c>
      <c r="C91" s="19">
        <f>39849+(3*365)</f>
        <v>40944</v>
      </c>
      <c r="D91" s="18" t="s">
        <v>80</v>
      </c>
      <c r="E91" s="18" t="s">
        <v>64</v>
      </c>
      <c r="F91" s="21">
        <v>3176</v>
      </c>
    </row>
    <row r="92" spans="2:6" x14ac:dyDescent="0.25">
      <c r="B92" s="27" t="s">
        <v>11</v>
      </c>
      <c r="C92" s="19">
        <f>40954+(3*365)</f>
        <v>42049</v>
      </c>
      <c r="D92" s="18" t="s">
        <v>60</v>
      </c>
      <c r="E92" s="18" t="s">
        <v>59</v>
      </c>
      <c r="F92" s="21">
        <v>576</v>
      </c>
    </row>
    <row r="93" spans="2:6" x14ac:dyDescent="0.25">
      <c r="B93" s="27" t="s">
        <v>21</v>
      </c>
      <c r="C93" s="19">
        <f>40396+(3*365)</f>
        <v>41491</v>
      </c>
      <c r="D93" s="18" t="s">
        <v>73</v>
      </c>
      <c r="E93" s="18" t="s">
        <v>59</v>
      </c>
      <c r="F93" s="21">
        <v>360</v>
      </c>
    </row>
    <row r="94" spans="2:6" x14ac:dyDescent="0.25">
      <c r="B94" s="27" t="s">
        <v>25</v>
      </c>
      <c r="C94" s="19">
        <f>40378+(3*365)</f>
        <v>41473</v>
      </c>
      <c r="D94" s="18" t="s">
        <v>79</v>
      </c>
      <c r="E94" s="18" t="s">
        <v>64</v>
      </c>
      <c r="F94" s="21">
        <v>19089</v>
      </c>
    </row>
    <row r="95" spans="2:6" x14ac:dyDescent="0.25">
      <c r="B95" s="27" t="s">
        <v>11</v>
      </c>
      <c r="C95" s="19">
        <f>41024+(3*365)</f>
        <v>42119</v>
      </c>
      <c r="D95" s="18" t="s">
        <v>60</v>
      </c>
      <c r="E95" s="18" t="s">
        <v>75</v>
      </c>
      <c r="F95" s="21">
        <v>1008</v>
      </c>
    </row>
    <row r="96" spans="2:6" x14ac:dyDescent="0.25">
      <c r="B96" s="27" t="s">
        <v>9</v>
      </c>
      <c r="C96" s="19">
        <f>39827+(3*365)</f>
        <v>40922</v>
      </c>
      <c r="D96" s="18" t="s">
        <v>80</v>
      </c>
      <c r="E96" s="18" t="s">
        <v>63</v>
      </c>
      <c r="F96" s="21">
        <v>264</v>
      </c>
    </row>
    <row r="97" spans="2:6" x14ac:dyDescent="0.25">
      <c r="B97" s="27" t="s">
        <v>8</v>
      </c>
      <c r="C97" s="19">
        <f>40605+(3*365)</f>
        <v>41700</v>
      </c>
      <c r="D97" s="18" t="s">
        <v>81</v>
      </c>
      <c r="E97" s="18" t="s">
        <v>63</v>
      </c>
      <c r="F97" s="21">
        <v>736</v>
      </c>
    </row>
    <row r="98" spans="2:6" x14ac:dyDescent="0.25">
      <c r="B98" s="27" t="s">
        <v>18</v>
      </c>
      <c r="C98" s="19">
        <f>39989+(3*365)</f>
        <v>41084</v>
      </c>
      <c r="D98" s="18" t="s">
        <v>68</v>
      </c>
      <c r="E98" s="18" t="s">
        <v>72</v>
      </c>
      <c r="F98" s="21">
        <v>520</v>
      </c>
    </row>
    <row r="99" spans="2:6" x14ac:dyDescent="0.25">
      <c r="B99" s="27" t="s">
        <v>18</v>
      </c>
      <c r="C99" s="19">
        <f>40961+(3*365)</f>
        <v>42056</v>
      </c>
      <c r="D99" s="18" t="s">
        <v>68</v>
      </c>
      <c r="E99" s="18" t="s">
        <v>64</v>
      </c>
      <c r="F99" s="21">
        <v>8688</v>
      </c>
    </row>
    <row r="100" spans="2:6" x14ac:dyDescent="0.25">
      <c r="B100" s="27" t="s">
        <v>25</v>
      </c>
      <c r="C100" s="19">
        <f>40431+(3*365)</f>
        <v>41526</v>
      </c>
      <c r="D100" s="18" t="s">
        <v>78</v>
      </c>
      <c r="E100" s="18" t="s">
        <v>64</v>
      </c>
      <c r="F100" s="21">
        <v>2094</v>
      </c>
    </row>
    <row r="101" spans="2:6" x14ac:dyDescent="0.25">
      <c r="B101" s="27" t="s">
        <v>9</v>
      </c>
      <c r="C101" s="19">
        <f>40208+(3*365)</f>
        <v>41303</v>
      </c>
      <c r="D101" s="18" t="s">
        <v>62</v>
      </c>
      <c r="E101" s="18" t="s">
        <v>59</v>
      </c>
      <c r="F101" s="21">
        <v>72</v>
      </c>
    </row>
    <row r="102" spans="2:6" x14ac:dyDescent="0.25">
      <c r="B102" s="27" t="s">
        <v>8</v>
      </c>
      <c r="C102" s="19">
        <f>40149+(3*365)</f>
        <v>41244</v>
      </c>
      <c r="D102" s="18" t="s">
        <v>77</v>
      </c>
      <c r="E102" s="18" t="s">
        <v>72</v>
      </c>
      <c r="F102" s="21">
        <v>558</v>
      </c>
    </row>
    <row r="103" spans="2:6" x14ac:dyDescent="0.25">
      <c r="B103" s="27" t="s">
        <v>11</v>
      </c>
      <c r="C103" s="19">
        <f>40214+(3*365)</f>
        <v>41309</v>
      </c>
      <c r="D103" s="18" t="s">
        <v>74</v>
      </c>
      <c r="E103" s="18" t="s">
        <v>59</v>
      </c>
      <c r="F103" s="21">
        <v>624</v>
      </c>
    </row>
    <row r="104" spans="2:6" x14ac:dyDescent="0.25">
      <c r="B104" s="27" t="s">
        <v>11</v>
      </c>
      <c r="C104" s="19">
        <f>40103+(3*365)</f>
        <v>41198</v>
      </c>
      <c r="D104" s="18" t="s">
        <v>74</v>
      </c>
      <c r="E104" s="18" t="s">
        <v>63</v>
      </c>
      <c r="F104" s="21">
        <v>522</v>
      </c>
    </row>
    <row r="105" spans="2:6" x14ac:dyDescent="0.25">
      <c r="B105" s="27" t="s">
        <v>25</v>
      </c>
      <c r="C105" s="19">
        <f>41142+(3*365)</f>
        <v>42237</v>
      </c>
      <c r="D105" s="18" t="s">
        <v>79</v>
      </c>
      <c r="E105" s="18" t="s">
        <v>72</v>
      </c>
      <c r="F105" s="21">
        <v>3108</v>
      </c>
    </row>
    <row r="106" spans="2:6" x14ac:dyDescent="0.25">
      <c r="B106" s="27" t="s">
        <v>18</v>
      </c>
      <c r="C106" s="19">
        <f>39875+(3*365)</f>
        <v>40970</v>
      </c>
      <c r="D106" s="18" t="s">
        <v>68</v>
      </c>
      <c r="E106" s="18" t="s">
        <v>66</v>
      </c>
      <c r="F106" s="21">
        <v>492</v>
      </c>
    </row>
    <row r="107" spans="2:6" x14ac:dyDescent="0.25">
      <c r="B107" s="27" t="s">
        <v>11</v>
      </c>
      <c r="C107" s="19">
        <f>40604+(3*365)</f>
        <v>41699</v>
      </c>
      <c r="D107" s="18" t="s">
        <v>74</v>
      </c>
      <c r="E107" s="18" t="s">
        <v>66</v>
      </c>
      <c r="F107" s="21">
        <v>348</v>
      </c>
    </row>
    <row r="108" spans="2:6" x14ac:dyDescent="0.25">
      <c r="B108" s="27" t="s">
        <v>11</v>
      </c>
      <c r="C108" s="19">
        <f>40911+(3*365)</f>
        <v>42006</v>
      </c>
      <c r="D108" s="18" t="s">
        <v>74</v>
      </c>
      <c r="E108" s="18" t="s">
        <v>63</v>
      </c>
      <c r="F108" s="21">
        <v>1280</v>
      </c>
    </row>
    <row r="109" spans="2:6" x14ac:dyDescent="0.25">
      <c r="B109" s="27" t="s">
        <v>10</v>
      </c>
      <c r="C109" s="19">
        <f>40069+(3*365)</f>
        <v>41164</v>
      </c>
      <c r="D109" s="18" t="s">
        <v>65</v>
      </c>
      <c r="E109" s="18" t="s">
        <v>69</v>
      </c>
      <c r="F109" s="21">
        <v>1552</v>
      </c>
    </row>
    <row r="110" spans="2:6" x14ac:dyDescent="0.25">
      <c r="B110" s="27" t="s">
        <v>8</v>
      </c>
      <c r="C110" s="19">
        <f>40816+(3*365)</f>
        <v>41911</v>
      </c>
      <c r="D110" s="18" t="s">
        <v>77</v>
      </c>
      <c r="E110" s="18" t="s">
        <v>61</v>
      </c>
      <c r="F110" s="21">
        <v>1120</v>
      </c>
    </row>
    <row r="111" spans="2:6" x14ac:dyDescent="0.25">
      <c r="B111" s="27" t="s">
        <v>8</v>
      </c>
      <c r="C111" s="19">
        <f>39951+(3*365)</f>
        <v>41046</v>
      </c>
      <c r="D111" s="18" t="s">
        <v>77</v>
      </c>
      <c r="E111" s="18" t="s">
        <v>61</v>
      </c>
      <c r="F111" s="21">
        <v>270</v>
      </c>
    </row>
    <row r="112" spans="2:6" x14ac:dyDescent="0.25">
      <c r="B112" s="27" t="s">
        <v>10</v>
      </c>
      <c r="C112" s="19">
        <f>40853+(3*365)</f>
        <v>41948</v>
      </c>
      <c r="D112" s="18" t="s">
        <v>67</v>
      </c>
      <c r="E112" s="18" t="s">
        <v>63</v>
      </c>
      <c r="F112" s="21">
        <v>980</v>
      </c>
    </row>
    <row r="113" spans="2:6" x14ac:dyDescent="0.25">
      <c r="B113" s="27" t="s">
        <v>25</v>
      </c>
      <c r="C113" s="19">
        <f>41070+(3*365)</f>
        <v>42165</v>
      </c>
      <c r="D113" s="18" t="s">
        <v>79</v>
      </c>
      <c r="E113" s="18" t="s">
        <v>66</v>
      </c>
      <c r="F113" s="21">
        <v>768</v>
      </c>
    </row>
    <row r="114" spans="2:6" x14ac:dyDescent="0.25">
      <c r="B114" s="27" t="s">
        <v>21</v>
      </c>
      <c r="C114" s="19">
        <f>40426+(3*365)</f>
        <v>41521</v>
      </c>
      <c r="D114" s="18" t="s">
        <v>73</v>
      </c>
      <c r="E114" s="18" t="s">
        <v>61</v>
      </c>
      <c r="F114" s="21">
        <v>138</v>
      </c>
    </row>
    <row r="115" spans="2:6" x14ac:dyDescent="0.25">
      <c r="B115" s="27" t="s">
        <v>21</v>
      </c>
      <c r="C115" s="19">
        <f>41228+(3*365)</f>
        <v>42323</v>
      </c>
      <c r="D115" s="18" t="s">
        <v>58</v>
      </c>
      <c r="E115" s="18" t="s">
        <v>59</v>
      </c>
      <c r="F115" s="21">
        <v>936</v>
      </c>
    </row>
    <row r="116" spans="2:6" x14ac:dyDescent="0.25">
      <c r="B116" s="27" t="s">
        <v>25</v>
      </c>
      <c r="C116" s="19">
        <f>40258+(3*365)</f>
        <v>41353</v>
      </c>
      <c r="D116" s="18" t="s">
        <v>78</v>
      </c>
      <c r="E116" s="18" t="s">
        <v>64</v>
      </c>
      <c r="F116" s="21">
        <v>9810</v>
      </c>
    </row>
    <row r="117" spans="2:6" x14ac:dyDescent="0.25">
      <c r="B117" s="27" t="s">
        <v>18</v>
      </c>
      <c r="C117" s="19">
        <f>40016+(3*365)</f>
        <v>41111</v>
      </c>
      <c r="D117" s="18" t="s">
        <v>71</v>
      </c>
      <c r="E117" s="18" t="s">
        <v>61</v>
      </c>
      <c r="F117" s="21">
        <v>1024</v>
      </c>
    </row>
    <row r="118" spans="2:6" x14ac:dyDescent="0.25">
      <c r="B118" s="27" t="s">
        <v>25</v>
      </c>
      <c r="C118" s="19">
        <f>40506+(3*365)</f>
        <v>41601</v>
      </c>
      <c r="D118" s="18" t="s">
        <v>79</v>
      </c>
      <c r="E118" s="18" t="s">
        <v>66</v>
      </c>
      <c r="F118" s="21">
        <v>1701</v>
      </c>
    </row>
    <row r="119" spans="2:6" x14ac:dyDescent="0.25">
      <c r="B119" s="27" t="s">
        <v>18</v>
      </c>
      <c r="C119" s="19">
        <f>39849+(3*365)</f>
        <v>40944</v>
      </c>
      <c r="D119" s="18" t="s">
        <v>71</v>
      </c>
      <c r="E119" s="18" t="s">
        <v>61</v>
      </c>
      <c r="F119" s="21">
        <v>590</v>
      </c>
    </row>
    <row r="120" spans="2:6" x14ac:dyDescent="0.25">
      <c r="B120" s="27" t="s">
        <v>31</v>
      </c>
      <c r="C120" s="19">
        <f>39984+(3*365)</f>
        <v>41079</v>
      </c>
      <c r="D120" s="18" t="s">
        <v>76</v>
      </c>
      <c r="E120" s="18" t="s">
        <v>75</v>
      </c>
      <c r="F120" s="21">
        <v>90</v>
      </c>
    </row>
    <row r="121" spans="2:6" x14ac:dyDescent="0.25">
      <c r="B121" s="27" t="s">
        <v>18</v>
      </c>
      <c r="C121" s="19">
        <f>40000+(3*365)</f>
        <v>41095</v>
      </c>
      <c r="D121" s="18" t="s">
        <v>68</v>
      </c>
      <c r="E121" s="18" t="s">
        <v>63</v>
      </c>
      <c r="F121" s="21">
        <v>700</v>
      </c>
    </row>
    <row r="122" spans="2:6" x14ac:dyDescent="0.25">
      <c r="B122" s="27" t="s">
        <v>9</v>
      </c>
      <c r="C122" s="19">
        <f>40459+(3*365)</f>
        <v>41554</v>
      </c>
      <c r="D122" s="18" t="s">
        <v>62</v>
      </c>
      <c r="E122" s="18" t="s">
        <v>75</v>
      </c>
      <c r="F122" s="21">
        <v>224</v>
      </c>
    </row>
    <row r="123" spans="2:6" x14ac:dyDescent="0.25">
      <c r="B123" s="27" t="s">
        <v>18</v>
      </c>
      <c r="C123" s="19">
        <f>40500+(3*365)</f>
        <v>41595</v>
      </c>
      <c r="D123" s="18" t="s">
        <v>68</v>
      </c>
      <c r="E123" s="18" t="s">
        <v>61</v>
      </c>
      <c r="F123" s="21">
        <v>1350</v>
      </c>
    </row>
    <row r="124" spans="2:6" x14ac:dyDescent="0.25">
      <c r="B124" s="27" t="s">
        <v>9</v>
      </c>
      <c r="C124" s="19">
        <f>41140+(3*365)</f>
        <v>42235</v>
      </c>
      <c r="D124" s="18" t="s">
        <v>80</v>
      </c>
      <c r="E124" s="18" t="s">
        <v>72</v>
      </c>
      <c r="F124" s="21">
        <v>148</v>
      </c>
    </row>
    <row r="125" spans="2:6" x14ac:dyDescent="0.25">
      <c r="B125" s="27" t="s">
        <v>21</v>
      </c>
      <c r="C125" s="19">
        <f>39906+(3*365)</f>
        <v>41001</v>
      </c>
      <c r="D125" s="18" t="s">
        <v>58</v>
      </c>
      <c r="E125" s="18" t="s">
        <v>64</v>
      </c>
      <c r="F125" s="21">
        <v>930</v>
      </c>
    </row>
    <row r="126" spans="2:6" x14ac:dyDescent="0.25">
      <c r="B126" s="27" t="s">
        <v>18</v>
      </c>
      <c r="C126" s="19">
        <f>40190+(3*365)</f>
        <v>41285</v>
      </c>
      <c r="D126" s="18" t="s">
        <v>68</v>
      </c>
      <c r="E126" s="18" t="s">
        <v>59</v>
      </c>
      <c r="F126" s="21">
        <v>504</v>
      </c>
    </row>
    <row r="127" spans="2:6" x14ac:dyDescent="0.25">
      <c r="B127" s="27" t="s">
        <v>9</v>
      </c>
      <c r="C127" s="19">
        <f>40307+(3*365)</f>
        <v>41402</v>
      </c>
      <c r="D127" s="18" t="s">
        <v>62</v>
      </c>
      <c r="E127" s="18" t="s">
        <v>72</v>
      </c>
      <c r="F127" s="21">
        <v>3712</v>
      </c>
    </row>
    <row r="128" spans="2:6" x14ac:dyDescent="0.25">
      <c r="B128" s="27" t="s">
        <v>11</v>
      </c>
      <c r="C128" s="19">
        <f>40488+(3*365)</f>
        <v>41583</v>
      </c>
      <c r="D128" s="18" t="s">
        <v>74</v>
      </c>
      <c r="E128" s="18" t="s">
        <v>72</v>
      </c>
      <c r="F128" s="21">
        <v>1425</v>
      </c>
    </row>
    <row r="129" spans="2:6" x14ac:dyDescent="0.25">
      <c r="B129" s="27" t="s">
        <v>25</v>
      </c>
      <c r="C129" s="19">
        <f>40960+(3*365)</f>
        <v>42055</v>
      </c>
      <c r="D129" s="18" t="s">
        <v>78</v>
      </c>
      <c r="E129" s="18" t="s">
        <v>69</v>
      </c>
      <c r="F129" s="21">
        <v>1188</v>
      </c>
    </row>
    <row r="130" spans="2:6" x14ac:dyDescent="0.25">
      <c r="B130" s="27" t="s">
        <v>9</v>
      </c>
      <c r="C130" s="19">
        <f>40963+(3*365)</f>
        <v>42058</v>
      </c>
      <c r="D130" s="18" t="s">
        <v>80</v>
      </c>
      <c r="E130" s="18" t="s">
        <v>69</v>
      </c>
      <c r="F130" s="21">
        <v>870</v>
      </c>
    </row>
    <row r="131" spans="2:6" x14ac:dyDescent="0.25">
      <c r="B131" s="27" t="s">
        <v>21</v>
      </c>
      <c r="C131" s="19">
        <f>40087+(3*365)</f>
        <v>41182</v>
      </c>
      <c r="D131" s="18" t="s">
        <v>58</v>
      </c>
      <c r="E131" s="18" t="s">
        <v>66</v>
      </c>
      <c r="F131" s="21">
        <v>462</v>
      </c>
    </row>
    <row r="132" spans="2:6" x14ac:dyDescent="0.25">
      <c r="B132" s="27" t="s">
        <v>9</v>
      </c>
      <c r="C132" s="19">
        <f>40364+(3*365)</f>
        <v>41459</v>
      </c>
      <c r="D132" s="18" t="s">
        <v>80</v>
      </c>
      <c r="E132" s="18" t="s">
        <v>61</v>
      </c>
      <c r="F132" s="21">
        <v>768</v>
      </c>
    </row>
    <row r="133" spans="2:6" x14ac:dyDescent="0.25">
      <c r="B133" s="27" t="s">
        <v>25</v>
      </c>
      <c r="C133" s="19">
        <f>40172+(3*365)</f>
        <v>41267</v>
      </c>
      <c r="D133" s="18" t="s">
        <v>79</v>
      </c>
      <c r="E133" s="18" t="s">
        <v>59</v>
      </c>
      <c r="F133" s="21">
        <v>220</v>
      </c>
    </row>
    <row r="134" spans="2:6" x14ac:dyDescent="0.25">
      <c r="B134" s="27" t="s">
        <v>25</v>
      </c>
      <c r="C134" s="19">
        <f>40387+(3*365)</f>
        <v>41482</v>
      </c>
      <c r="D134" s="18" t="s">
        <v>78</v>
      </c>
      <c r="E134" s="18" t="s">
        <v>63</v>
      </c>
      <c r="F134" s="21">
        <v>276</v>
      </c>
    </row>
    <row r="135" spans="2:6" x14ac:dyDescent="0.25">
      <c r="B135" s="27" t="s">
        <v>21</v>
      </c>
      <c r="C135" s="19">
        <f>40644+(3*365)</f>
        <v>41739</v>
      </c>
      <c r="D135" s="18" t="s">
        <v>58</v>
      </c>
      <c r="E135" s="18" t="s">
        <v>72</v>
      </c>
      <c r="F135" s="21">
        <v>960</v>
      </c>
    </row>
    <row r="136" spans="2:6" x14ac:dyDescent="0.25">
      <c r="B136" s="27" t="s">
        <v>18</v>
      </c>
      <c r="C136" s="19">
        <f>40437+(3*365)</f>
        <v>41532</v>
      </c>
      <c r="D136" s="18" t="s">
        <v>71</v>
      </c>
      <c r="E136" s="18" t="s">
        <v>69</v>
      </c>
      <c r="F136" s="21">
        <v>4860</v>
      </c>
    </row>
    <row r="137" spans="2:6" x14ac:dyDescent="0.25">
      <c r="B137" s="27" t="s">
        <v>8</v>
      </c>
      <c r="C137" s="19">
        <f>39894+(3*365)</f>
        <v>40989</v>
      </c>
      <c r="D137" s="18" t="s">
        <v>81</v>
      </c>
      <c r="E137" s="18" t="s">
        <v>72</v>
      </c>
      <c r="F137" s="21">
        <v>1344</v>
      </c>
    </row>
    <row r="138" spans="2:6" x14ac:dyDescent="0.25">
      <c r="B138" s="27" t="s">
        <v>8</v>
      </c>
      <c r="C138" s="19">
        <f>40264+(3*365)</f>
        <v>41359</v>
      </c>
      <c r="D138" s="18" t="s">
        <v>77</v>
      </c>
      <c r="E138" s="18" t="s">
        <v>61</v>
      </c>
      <c r="F138" s="21">
        <v>900</v>
      </c>
    </row>
    <row r="139" spans="2:6" x14ac:dyDescent="0.25">
      <c r="B139" s="27" t="s">
        <v>9</v>
      </c>
      <c r="C139" s="19">
        <f>40487+(3*365)</f>
        <v>41582</v>
      </c>
      <c r="D139" s="18" t="s">
        <v>80</v>
      </c>
      <c r="E139" s="18" t="s">
        <v>66</v>
      </c>
      <c r="F139" s="21">
        <v>164</v>
      </c>
    </row>
    <row r="140" spans="2:6" x14ac:dyDescent="0.25">
      <c r="B140" s="27" t="s">
        <v>25</v>
      </c>
      <c r="C140" s="19">
        <f>41093+(3*365)</f>
        <v>42188</v>
      </c>
      <c r="D140" s="18" t="s">
        <v>78</v>
      </c>
      <c r="E140" s="18" t="s">
        <v>63</v>
      </c>
      <c r="F140" s="21">
        <v>470</v>
      </c>
    </row>
    <row r="141" spans="2:6" x14ac:dyDescent="0.25">
      <c r="B141" s="27" t="s">
        <v>25</v>
      </c>
      <c r="C141" s="19">
        <f>40051+(3*365)</f>
        <v>41146</v>
      </c>
      <c r="D141" s="18" t="s">
        <v>78</v>
      </c>
      <c r="E141" s="18" t="s">
        <v>75</v>
      </c>
      <c r="F141" s="21">
        <v>476</v>
      </c>
    </row>
    <row r="142" spans="2:6" x14ac:dyDescent="0.25">
      <c r="B142" s="27" t="s">
        <v>11</v>
      </c>
      <c r="C142" s="19">
        <f>39843+(3*365)</f>
        <v>40938</v>
      </c>
      <c r="D142" s="18" t="s">
        <v>74</v>
      </c>
      <c r="E142" s="18" t="s">
        <v>64</v>
      </c>
      <c r="F142" s="21">
        <v>3540</v>
      </c>
    </row>
    <row r="143" spans="2:6" x14ac:dyDescent="0.25">
      <c r="B143" s="27" t="s">
        <v>9</v>
      </c>
      <c r="C143" s="19">
        <f>40589+(3*365)</f>
        <v>41684</v>
      </c>
      <c r="D143" s="18" t="s">
        <v>80</v>
      </c>
      <c r="E143" s="18" t="s">
        <v>72</v>
      </c>
      <c r="F143" s="21">
        <v>603</v>
      </c>
    </row>
    <row r="144" spans="2:6" x14ac:dyDescent="0.25">
      <c r="B144" s="27" t="s">
        <v>8</v>
      </c>
      <c r="C144" s="19">
        <f>41222+(3*365)</f>
        <v>42317</v>
      </c>
      <c r="D144" s="18" t="s">
        <v>81</v>
      </c>
      <c r="E144" s="18" t="s">
        <v>69</v>
      </c>
      <c r="F144" s="21">
        <v>3000</v>
      </c>
    </row>
    <row r="145" spans="2:6" x14ac:dyDescent="0.25">
      <c r="B145" s="27" t="s">
        <v>11</v>
      </c>
      <c r="C145" s="19">
        <f>40588+(3*365)</f>
        <v>41683</v>
      </c>
      <c r="D145" s="18" t="s">
        <v>74</v>
      </c>
      <c r="E145" s="18" t="s">
        <v>64</v>
      </c>
      <c r="F145" s="21">
        <v>2763</v>
      </c>
    </row>
    <row r="146" spans="2:6" x14ac:dyDescent="0.25">
      <c r="B146" s="27" t="s">
        <v>8</v>
      </c>
      <c r="C146" s="19">
        <f>40875+(3*365)</f>
        <v>41970</v>
      </c>
      <c r="D146" s="18" t="s">
        <v>81</v>
      </c>
      <c r="E146" s="18" t="s">
        <v>72</v>
      </c>
      <c r="F146" s="21">
        <v>4320</v>
      </c>
    </row>
    <row r="147" spans="2:6" x14ac:dyDescent="0.25">
      <c r="B147" s="27" t="s">
        <v>21</v>
      </c>
      <c r="C147" s="19">
        <f>40367+(3*365)</f>
        <v>41462</v>
      </c>
      <c r="D147" s="18" t="s">
        <v>58</v>
      </c>
      <c r="E147" s="18" t="s">
        <v>63</v>
      </c>
      <c r="F147" s="21">
        <v>812</v>
      </c>
    </row>
    <row r="148" spans="2:6" x14ac:dyDescent="0.25">
      <c r="B148" s="27" t="s">
        <v>21</v>
      </c>
      <c r="C148" s="19">
        <f>40173+(3*365)</f>
        <v>41268</v>
      </c>
      <c r="D148" s="18" t="s">
        <v>58</v>
      </c>
      <c r="E148" s="18" t="s">
        <v>61</v>
      </c>
      <c r="F148" s="21">
        <v>376</v>
      </c>
    </row>
    <row r="149" spans="2:6" x14ac:dyDescent="0.25">
      <c r="B149" s="27" t="s">
        <v>9</v>
      </c>
      <c r="C149" s="19">
        <f>40537+(3*365)</f>
        <v>41632</v>
      </c>
      <c r="D149" s="18" t="s">
        <v>80</v>
      </c>
      <c r="E149" s="18" t="s">
        <v>61</v>
      </c>
      <c r="F149" s="21">
        <v>1022</v>
      </c>
    </row>
    <row r="150" spans="2:6" x14ac:dyDescent="0.25">
      <c r="B150" s="27" t="s">
        <v>25</v>
      </c>
      <c r="C150" s="19">
        <f>41182+(3*365)</f>
        <v>42277</v>
      </c>
      <c r="D150" s="18" t="s">
        <v>78</v>
      </c>
      <c r="E150" s="18" t="s">
        <v>61</v>
      </c>
      <c r="F150" s="21">
        <v>944</v>
      </c>
    </row>
    <row r="151" spans="2:6" x14ac:dyDescent="0.25">
      <c r="B151" s="27" t="s">
        <v>21</v>
      </c>
      <c r="C151" s="19">
        <f>40533+(3*365)</f>
        <v>41628</v>
      </c>
      <c r="D151" s="18" t="s">
        <v>73</v>
      </c>
      <c r="E151" s="18" t="s">
        <v>69</v>
      </c>
      <c r="F151" s="21">
        <v>1944</v>
      </c>
    </row>
    <row r="152" spans="2:6" x14ac:dyDescent="0.25">
      <c r="B152" s="27" t="s">
        <v>21</v>
      </c>
      <c r="C152" s="19">
        <f>39814+(3*365)</f>
        <v>40909</v>
      </c>
      <c r="D152" s="18" t="s">
        <v>73</v>
      </c>
      <c r="E152" s="18" t="s">
        <v>69</v>
      </c>
      <c r="F152" s="21">
        <v>732</v>
      </c>
    </row>
    <row r="153" spans="2:6" x14ac:dyDescent="0.25">
      <c r="B153" s="27" t="s">
        <v>18</v>
      </c>
      <c r="C153" s="19">
        <f>40809+(3*365)</f>
        <v>41904</v>
      </c>
      <c r="D153" s="18" t="s">
        <v>68</v>
      </c>
      <c r="E153" s="18" t="s">
        <v>75</v>
      </c>
      <c r="F153" s="21">
        <v>1368</v>
      </c>
    </row>
    <row r="154" spans="2:6" x14ac:dyDescent="0.25">
      <c r="B154" s="27" t="s">
        <v>25</v>
      </c>
      <c r="C154" s="19">
        <f>40858+(3*365)</f>
        <v>41953</v>
      </c>
      <c r="D154" s="18" t="s">
        <v>79</v>
      </c>
      <c r="E154" s="18" t="s">
        <v>63</v>
      </c>
      <c r="F154" s="21">
        <v>312</v>
      </c>
    </row>
    <row r="155" spans="2:6" x14ac:dyDescent="0.25">
      <c r="B155" s="27" t="s">
        <v>11</v>
      </c>
      <c r="C155" s="19">
        <f>40971+(3*365)</f>
        <v>42066</v>
      </c>
      <c r="D155" s="18" t="s">
        <v>60</v>
      </c>
      <c r="E155" s="18" t="s">
        <v>69</v>
      </c>
      <c r="F155" s="21">
        <v>4448</v>
      </c>
    </row>
    <row r="156" spans="2:6" x14ac:dyDescent="0.25">
      <c r="B156" s="27" t="s">
        <v>11</v>
      </c>
      <c r="C156" s="19">
        <f>41040+(3*365)</f>
        <v>42135</v>
      </c>
      <c r="D156" s="18" t="s">
        <v>74</v>
      </c>
      <c r="E156" s="18" t="s">
        <v>64</v>
      </c>
      <c r="F156" s="21">
        <v>3156</v>
      </c>
    </row>
    <row r="157" spans="2:6" x14ac:dyDescent="0.25">
      <c r="B157" s="27" t="s">
        <v>25</v>
      </c>
      <c r="C157" s="19">
        <f>40858+(3*365)</f>
        <v>41953</v>
      </c>
      <c r="D157" s="18" t="s">
        <v>78</v>
      </c>
      <c r="E157" s="18" t="s">
        <v>59</v>
      </c>
      <c r="F157" s="21">
        <v>644</v>
      </c>
    </row>
    <row r="158" spans="2:6" x14ac:dyDescent="0.25">
      <c r="B158" s="27" t="s">
        <v>21</v>
      </c>
      <c r="C158" s="19">
        <f>40712+(3*365)</f>
        <v>41807</v>
      </c>
      <c r="D158" s="18" t="s">
        <v>58</v>
      </c>
      <c r="E158" s="18" t="s">
        <v>63</v>
      </c>
      <c r="F158" s="21">
        <v>1728</v>
      </c>
    </row>
    <row r="159" spans="2:6" x14ac:dyDescent="0.25">
      <c r="B159" s="27" t="s">
        <v>11</v>
      </c>
      <c r="C159" s="19">
        <f>39927+(3*365)</f>
        <v>41022</v>
      </c>
      <c r="D159" s="18" t="s">
        <v>74</v>
      </c>
      <c r="E159" s="18" t="s">
        <v>72</v>
      </c>
      <c r="F159" s="21">
        <v>405</v>
      </c>
    </row>
    <row r="160" spans="2:6" x14ac:dyDescent="0.25">
      <c r="B160" s="27" t="s">
        <v>11</v>
      </c>
      <c r="C160" s="19">
        <f>39945+(3*365)</f>
        <v>41040</v>
      </c>
      <c r="D160" s="18" t="s">
        <v>74</v>
      </c>
      <c r="E160" s="18" t="s">
        <v>75</v>
      </c>
      <c r="F160" s="21">
        <v>180</v>
      </c>
    </row>
    <row r="161" spans="2:6" x14ac:dyDescent="0.25">
      <c r="B161" s="27" t="s">
        <v>10</v>
      </c>
      <c r="C161" s="19">
        <f>39918+(3*365)</f>
        <v>41013</v>
      </c>
      <c r="D161" s="18" t="s">
        <v>67</v>
      </c>
      <c r="E161" s="18" t="s">
        <v>66</v>
      </c>
      <c r="F161" s="21">
        <v>992</v>
      </c>
    </row>
    <row r="162" spans="2:6" x14ac:dyDescent="0.25">
      <c r="B162" s="27" t="s">
        <v>25</v>
      </c>
      <c r="C162" s="19">
        <f>40859+(3*365)</f>
        <v>41954</v>
      </c>
      <c r="D162" s="18" t="s">
        <v>78</v>
      </c>
      <c r="E162" s="18" t="s">
        <v>61</v>
      </c>
      <c r="F162" s="21">
        <v>1476</v>
      </c>
    </row>
    <row r="163" spans="2:6" x14ac:dyDescent="0.25">
      <c r="B163" s="27" t="s">
        <v>9</v>
      </c>
      <c r="C163" s="19">
        <f>40493+(3*365)</f>
        <v>41588</v>
      </c>
      <c r="D163" s="18" t="s">
        <v>80</v>
      </c>
      <c r="E163" s="18" t="s">
        <v>63</v>
      </c>
      <c r="F163" s="21">
        <v>312</v>
      </c>
    </row>
    <row r="164" spans="2:6" x14ac:dyDescent="0.25">
      <c r="B164" s="27" t="s">
        <v>31</v>
      </c>
      <c r="C164" s="19">
        <f>40031+(3*365)</f>
        <v>41126</v>
      </c>
      <c r="D164" s="18" t="s">
        <v>70</v>
      </c>
      <c r="E164" s="18" t="s">
        <v>59</v>
      </c>
      <c r="F164" s="21">
        <v>558</v>
      </c>
    </row>
    <row r="165" spans="2:6" x14ac:dyDescent="0.25">
      <c r="B165" s="27" t="s">
        <v>9</v>
      </c>
      <c r="C165" s="19">
        <f>39901+(3*365)</f>
        <v>40996</v>
      </c>
      <c r="D165" s="18" t="s">
        <v>80</v>
      </c>
      <c r="E165" s="18" t="s">
        <v>63</v>
      </c>
      <c r="F165" s="21">
        <v>312</v>
      </c>
    </row>
    <row r="166" spans="2:6" x14ac:dyDescent="0.25">
      <c r="B166" s="27" t="s">
        <v>18</v>
      </c>
      <c r="C166" s="19">
        <f>40671+(3*365)</f>
        <v>41766</v>
      </c>
      <c r="D166" s="18" t="s">
        <v>68</v>
      </c>
      <c r="E166" s="18" t="s">
        <v>66</v>
      </c>
      <c r="F166" s="21">
        <v>2880</v>
      </c>
    </row>
    <row r="167" spans="2:6" x14ac:dyDescent="0.25">
      <c r="B167" s="27" t="s">
        <v>25</v>
      </c>
      <c r="C167" s="19">
        <f>41027+(3*365)</f>
        <v>42122</v>
      </c>
      <c r="D167" s="18" t="s">
        <v>78</v>
      </c>
      <c r="E167" s="18" t="s">
        <v>66</v>
      </c>
      <c r="F167" s="21">
        <v>784</v>
      </c>
    </row>
    <row r="168" spans="2:6" x14ac:dyDescent="0.25">
      <c r="B168" s="27" t="s">
        <v>11</v>
      </c>
      <c r="C168" s="19">
        <f>39853+(3*365)</f>
        <v>40948</v>
      </c>
      <c r="D168" s="18" t="s">
        <v>74</v>
      </c>
      <c r="E168" s="18" t="s">
        <v>61</v>
      </c>
      <c r="F168" s="21">
        <v>288</v>
      </c>
    </row>
    <row r="169" spans="2:6" x14ac:dyDescent="0.25">
      <c r="B169" s="27" t="s">
        <v>21</v>
      </c>
      <c r="C169" s="19">
        <f>40020+(3*365)</f>
        <v>41115</v>
      </c>
      <c r="D169" s="18" t="s">
        <v>73</v>
      </c>
      <c r="E169" s="18" t="s">
        <v>64</v>
      </c>
      <c r="F169" s="21">
        <v>2450</v>
      </c>
    </row>
    <row r="170" spans="2:6" x14ac:dyDescent="0.25">
      <c r="B170" s="27" t="s">
        <v>21</v>
      </c>
      <c r="C170" s="19">
        <f>40529+(3*365)</f>
        <v>41624</v>
      </c>
      <c r="D170" s="18" t="s">
        <v>58</v>
      </c>
      <c r="E170" s="18" t="s">
        <v>59</v>
      </c>
      <c r="F170" s="21">
        <v>204</v>
      </c>
    </row>
    <row r="171" spans="2:6" x14ac:dyDescent="0.25">
      <c r="B171" s="27" t="s">
        <v>31</v>
      </c>
      <c r="C171" s="19">
        <f>41229+(3*365)</f>
        <v>42324</v>
      </c>
      <c r="D171" s="18" t="s">
        <v>76</v>
      </c>
      <c r="E171" s="18" t="s">
        <v>72</v>
      </c>
      <c r="F171" s="21">
        <v>2835</v>
      </c>
    </row>
    <row r="172" spans="2:6" x14ac:dyDescent="0.25">
      <c r="B172" s="27" t="s">
        <v>8</v>
      </c>
      <c r="C172" s="19">
        <f>40395+(3*365)</f>
        <v>41490</v>
      </c>
      <c r="D172" s="18" t="s">
        <v>81</v>
      </c>
      <c r="E172" s="18" t="s">
        <v>75</v>
      </c>
      <c r="F172" s="21">
        <v>80</v>
      </c>
    </row>
    <row r="173" spans="2:6" x14ac:dyDescent="0.25">
      <c r="B173" s="27" t="s">
        <v>25</v>
      </c>
      <c r="C173" s="19">
        <f>39893+(3*365)</f>
        <v>40988</v>
      </c>
      <c r="D173" s="18" t="s">
        <v>79</v>
      </c>
      <c r="E173" s="18" t="s">
        <v>63</v>
      </c>
      <c r="F173" s="21">
        <v>360</v>
      </c>
    </row>
    <row r="174" spans="2:6" x14ac:dyDescent="0.25">
      <c r="B174" s="27" t="s">
        <v>25</v>
      </c>
      <c r="C174" s="19">
        <f>40667+(3*365)</f>
        <v>41762</v>
      </c>
      <c r="D174" s="18" t="s">
        <v>79</v>
      </c>
      <c r="E174" s="18" t="s">
        <v>59</v>
      </c>
      <c r="F174" s="21">
        <v>232</v>
      </c>
    </row>
    <row r="175" spans="2:6" x14ac:dyDescent="0.25">
      <c r="B175" s="27" t="s">
        <v>18</v>
      </c>
      <c r="C175" s="19">
        <f>39822+(3*365)</f>
        <v>40917</v>
      </c>
      <c r="D175" s="18" t="s">
        <v>68</v>
      </c>
      <c r="E175" s="18" t="s">
        <v>61</v>
      </c>
      <c r="F175" s="21">
        <v>116</v>
      </c>
    </row>
    <row r="176" spans="2:6" x14ac:dyDescent="0.25">
      <c r="B176" s="27" t="s">
        <v>11</v>
      </c>
      <c r="C176" s="19">
        <f>39876+(3*365)</f>
        <v>40971</v>
      </c>
      <c r="D176" s="18" t="s">
        <v>60</v>
      </c>
      <c r="E176" s="18" t="s">
        <v>69</v>
      </c>
      <c r="F176" s="21">
        <v>693</v>
      </c>
    </row>
    <row r="177" spans="2:6" x14ac:dyDescent="0.25">
      <c r="B177" s="27" t="s">
        <v>18</v>
      </c>
      <c r="C177" s="19">
        <f>40047+(3*365)</f>
        <v>41142</v>
      </c>
      <c r="D177" s="18" t="s">
        <v>68</v>
      </c>
      <c r="E177" s="18" t="s">
        <v>61</v>
      </c>
      <c r="F177" s="21">
        <v>176</v>
      </c>
    </row>
    <row r="178" spans="2:6" x14ac:dyDescent="0.25">
      <c r="B178" s="27" t="s">
        <v>9</v>
      </c>
      <c r="C178" s="19">
        <f>40836+(3*365)</f>
        <v>41931</v>
      </c>
      <c r="D178" s="18" t="s">
        <v>80</v>
      </c>
      <c r="E178" s="18" t="s">
        <v>72</v>
      </c>
      <c r="F178" s="21">
        <v>2685</v>
      </c>
    </row>
    <row r="179" spans="2:6" x14ac:dyDescent="0.25">
      <c r="B179" s="27" t="s">
        <v>10</v>
      </c>
      <c r="C179" s="19">
        <f>40690+(3*365)</f>
        <v>41785</v>
      </c>
      <c r="D179" s="18" t="s">
        <v>65</v>
      </c>
      <c r="E179" s="18" t="s">
        <v>59</v>
      </c>
      <c r="F179" s="21">
        <v>308</v>
      </c>
    </row>
    <row r="180" spans="2:6" x14ac:dyDescent="0.25">
      <c r="B180" s="27" t="s">
        <v>25</v>
      </c>
      <c r="C180" s="19">
        <f>40003+(3*365)</f>
        <v>41098</v>
      </c>
      <c r="D180" s="18" t="s">
        <v>79</v>
      </c>
      <c r="E180" s="18" t="s">
        <v>61</v>
      </c>
      <c r="F180" s="21">
        <v>60</v>
      </c>
    </row>
    <row r="181" spans="2:6" x14ac:dyDescent="0.25">
      <c r="B181" s="27" t="s">
        <v>11</v>
      </c>
      <c r="C181" s="19">
        <f>39968+(3*365)</f>
        <v>41063</v>
      </c>
      <c r="D181" s="18" t="s">
        <v>60</v>
      </c>
      <c r="E181" s="18" t="s">
        <v>64</v>
      </c>
      <c r="F181" s="21">
        <v>16335</v>
      </c>
    </row>
    <row r="182" spans="2:6" x14ac:dyDescent="0.25">
      <c r="B182" s="27" t="s">
        <v>8</v>
      </c>
      <c r="C182" s="19">
        <f>40965+(3*365)</f>
        <v>42060</v>
      </c>
      <c r="D182" s="18" t="s">
        <v>81</v>
      </c>
      <c r="E182" s="18" t="s">
        <v>66</v>
      </c>
      <c r="F182" s="21">
        <v>720</v>
      </c>
    </row>
    <row r="183" spans="2:6" x14ac:dyDescent="0.25">
      <c r="B183" s="27" t="s">
        <v>31</v>
      </c>
      <c r="C183" s="19">
        <f>41221+(3*365)</f>
        <v>42316</v>
      </c>
      <c r="D183" s="18" t="s">
        <v>76</v>
      </c>
      <c r="E183" s="18" t="s">
        <v>75</v>
      </c>
      <c r="F183" s="21">
        <v>324</v>
      </c>
    </row>
    <row r="184" spans="2:6" x14ac:dyDescent="0.25">
      <c r="B184" s="27" t="s">
        <v>21</v>
      </c>
      <c r="C184" s="19">
        <f>39881+(3*365)</f>
        <v>40976</v>
      </c>
      <c r="D184" s="18" t="s">
        <v>58</v>
      </c>
      <c r="E184" s="18" t="s">
        <v>72</v>
      </c>
      <c r="F184" s="21">
        <v>166</v>
      </c>
    </row>
    <row r="185" spans="2:6" x14ac:dyDescent="0.25">
      <c r="B185" s="27" t="s">
        <v>25</v>
      </c>
      <c r="C185" s="19">
        <f>40166+(3*365)</f>
        <v>41261</v>
      </c>
      <c r="D185" s="18" t="s">
        <v>78</v>
      </c>
      <c r="E185" s="18" t="s">
        <v>61</v>
      </c>
      <c r="F185" s="21">
        <v>400</v>
      </c>
    </row>
    <row r="186" spans="2:6" x14ac:dyDescent="0.25">
      <c r="B186" s="27" t="s">
        <v>10</v>
      </c>
      <c r="C186" s="19">
        <f>40381+(3*365)</f>
        <v>41476</v>
      </c>
      <c r="D186" s="18" t="s">
        <v>67</v>
      </c>
      <c r="E186" s="18" t="s">
        <v>75</v>
      </c>
      <c r="F186" s="21">
        <v>837</v>
      </c>
    </row>
    <row r="187" spans="2:6" x14ac:dyDescent="0.25">
      <c r="B187" s="27" t="s">
        <v>8</v>
      </c>
      <c r="C187" s="19">
        <f>39972+(3*365)</f>
        <v>41067</v>
      </c>
      <c r="D187" s="18" t="s">
        <v>77</v>
      </c>
      <c r="E187" s="18" t="s">
        <v>69</v>
      </c>
      <c r="F187" s="21">
        <v>840</v>
      </c>
    </row>
    <row r="188" spans="2:6" x14ac:dyDescent="0.25">
      <c r="B188" s="27" t="s">
        <v>21</v>
      </c>
      <c r="C188" s="19">
        <f>41004+(3*365)</f>
        <v>42099</v>
      </c>
      <c r="D188" s="18" t="s">
        <v>58</v>
      </c>
      <c r="E188" s="18" t="s">
        <v>69</v>
      </c>
      <c r="F188" s="21">
        <v>1088</v>
      </c>
    </row>
    <row r="189" spans="2:6" x14ac:dyDescent="0.25">
      <c r="B189" s="27" t="s">
        <v>25</v>
      </c>
      <c r="C189" s="19">
        <f>40994+(3*365)</f>
        <v>42089</v>
      </c>
      <c r="D189" s="18" t="s">
        <v>78</v>
      </c>
      <c r="E189" s="18" t="s">
        <v>61</v>
      </c>
      <c r="F189" s="21">
        <v>118</v>
      </c>
    </row>
    <row r="190" spans="2:6" x14ac:dyDescent="0.25">
      <c r="B190" s="27" t="s">
        <v>10</v>
      </c>
      <c r="C190" s="19">
        <f>41082+(3*365)</f>
        <v>42177</v>
      </c>
      <c r="D190" s="18" t="s">
        <v>67</v>
      </c>
      <c r="E190" s="18" t="s">
        <v>59</v>
      </c>
      <c r="F190" s="21">
        <v>174</v>
      </c>
    </row>
    <row r="191" spans="2:6" x14ac:dyDescent="0.25">
      <c r="B191" s="27" t="s">
        <v>9</v>
      </c>
      <c r="C191" s="19">
        <f>40288+(3*365)</f>
        <v>41383</v>
      </c>
      <c r="D191" s="18" t="s">
        <v>80</v>
      </c>
      <c r="E191" s="18" t="s">
        <v>59</v>
      </c>
      <c r="F191" s="21">
        <v>320</v>
      </c>
    </row>
    <row r="192" spans="2:6" x14ac:dyDescent="0.25">
      <c r="B192" s="27" t="s">
        <v>18</v>
      </c>
      <c r="C192" s="19">
        <f>40804+(3*365)</f>
        <v>41899</v>
      </c>
      <c r="D192" s="18" t="s">
        <v>68</v>
      </c>
      <c r="E192" s="18" t="s">
        <v>69</v>
      </c>
      <c r="F192" s="21">
        <v>588</v>
      </c>
    </row>
    <row r="193" spans="2:6" x14ac:dyDescent="0.25">
      <c r="B193" s="27" t="s">
        <v>9</v>
      </c>
      <c r="C193" s="19">
        <f>40254+(3*365)</f>
        <v>41349</v>
      </c>
      <c r="D193" s="18" t="s">
        <v>80</v>
      </c>
      <c r="E193" s="18" t="s">
        <v>64</v>
      </c>
      <c r="F193" s="21">
        <v>2608</v>
      </c>
    </row>
    <row r="194" spans="2:6" x14ac:dyDescent="0.25">
      <c r="B194" s="27" t="s">
        <v>21</v>
      </c>
      <c r="C194" s="19">
        <f>41019+(3*365)</f>
        <v>42114</v>
      </c>
      <c r="D194" s="18" t="s">
        <v>58</v>
      </c>
      <c r="E194" s="18" t="s">
        <v>64</v>
      </c>
      <c r="F194" s="21">
        <v>5632</v>
      </c>
    </row>
    <row r="195" spans="2:6" x14ac:dyDescent="0.25">
      <c r="B195" s="27" t="s">
        <v>10</v>
      </c>
      <c r="C195" s="19">
        <f>40039+(3*365)</f>
        <v>41134</v>
      </c>
      <c r="D195" s="18" t="s">
        <v>67</v>
      </c>
      <c r="E195" s="18" t="s">
        <v>59</v>
      </c>
      <c r="F195" s="21">
        <v>300</v>
      </c>
    </row>
    <row r="196" spans="2:6" x14ac:dyDescent="0.25">
      <c r="B196" s="27" t="s">
        <v>25</v>
      </c>
      <c r="C196" s="19">
        <f>41089+(3*365)</f>
        <v>42184</v>
      </c>
      <c r="D196" s="18" t="s">
        <v>79</v>
      </c>
      <c r="E196" s="18" t="s">
        <v>63</v>
      </c>
      <c r="F196" s="21">
        <v>500</v>
      </c>
    </row>
    <row r="197" spans="2:6" x14ac:dyDescent="0.25">
      <c r="B197" s="27" t="s">
        <v>25</v>
      </c>
      <c r="C197" s="19">
        <f>40596+(3*365)</f>
        <v>41691</v>
      </c>
      <c r="D197" s="18" t="s">
        <v>78</v>
      </c>
      <c r="E197" s="18" t="s">
        <v>64</v>
      </c>
      <c r="F197" s="21">
        <v>18784</v>
      </c>
    </row>
    <row r="198" spans="2:6" x14ac:dyDescent="0.25">
      <c r="B198" s="27" t="s">
        <v>31</v>
      </c>
      <c r="C198" s="19">
        <f>40286+(3*365)</f>
        <v>41381</v>
      </c>
      <c r="D198" s="18" t="s">
        <v>70</v>
      </c>
      <c r="E198" s="18" t="s">
        <v>75</v>
      </c>
      <c r="F198" s="21">
        <v>672</v>
      </c>
    </row>
    <row r="199" spans="2:6" x14ac:dyDescent="0.25">
      <c r="B199" s="27" t="s">
        <v>9</v>
      </c>
      <c r="C199" s="19">
        <f>40157+(3*365)</f>
        <v>41252</v>
      </c>
      <c r="D199" s="18" t="s">
        <v>80</v>
      </c>
      <c r="E199" s="18" t="s">
        <v>59</v>
      </c>
      <c r="F199" s="21">
        <v>408</v>
      </c>
    </row>
    <row r="200" spans="2:6" x14ac:dyDescent="0.25">
      <c r="B200" s="27" t="s">
        <v>18</v>
      </c>
      <c r="C200" s="19">
        <f>41089+(3*365)</f>
        <v>42184</v>
      </c>
      <c r="D200" s="18" t="s">
        <v>71</v>
      </c>
      <c r="E200" s="18" t="s">
        <v>59</v>
      </c>
      <c r="F200" s="21">
        <v>111</v>
      </c>
    </row>
    <row r="201" spans="2:6" x14ac:dyDescent="0.25">
      <c r="B201" s="27" t="s">
        <v>10</v>
      </c>
      <c r="C201" s="19">
        <f>40938+(3*365)</f>
        <v>42033</v>
      </c>
      <c r="D201" s="18" t="s">
        <v>67</v>
      </c>
      <c r="E201" s="18" t="s">
        <v>61</v>
      </c>
      <c r="F201" s="21">
        <v>1044</v>
      </c>
    </row>
    <row r="202" spans="2:6" x14ac:dyDescent="0.25">
      <c r="B202" s="27" t="s">
        <v>21</v>
      </c>
      <c r="C202" s="19">
        <f>40047+(3*365)</f>
        <v>41142</v>
      </c>
      <c r="D202" s="18" t="s">
        <v>58</v>
      </c>
      <c r="E202" s="18" t="s">
        <v>66</v>
      </c>
      <c r="F202" s="21">
        <v>280</v>
      </c>
    </row>
    <row r="203" spans="2:6" x14ac:dyDescent="0.25">
      <c r="B203" s="27" t="s">
        <v>18</v>
      </c>
      <c r="C203" s="19">
        <f>40935+(3*365)</f>
        <v>42030</v>
      </c>
      <c r="D203" s="18" t="s">
        <v>68</v>
      </c>
      <c r="E203" s="18" t="s">
        <v>61</v>
      </c>
      <c r="F203" s="21">
        <v>198</v>
      </c>
    </row>
    <row r="204" spans="2:6" x14ac:dyDescent="0.25">
      <c r="B204" s="27" t="s">
        <v>10</v>
      </c>
      <c r="C204" s="19">
        <f>41150+(3*365)</f>
        <v>42245</v>
      </c>
      <c r="D204" s="18" t="s">
        <v>65</v>
      </c>
      <c r="E204" s="18" t="s">
        <v>63</v>
      </c>
      <c r="F204" s="21">
        <v>516</v>
      </c>
    </row>
    <row r="205" spans="2:6" x14ac:dyDescent="0.25">
      <c r="B205" s="27" t="s">
        <v>31</v>
      </c>
      <c r="C205" s="19">
        <f>41226+(3*365)</f>
        <v>42321</v>
      </c>
      <c r="D205" s="18" t="s">
        <v>70</v>
      </c>
      <c r="E205" s="18" t="s">
        <v>64</v>
      </c>
      <c r="F205" s="21">
        <v>8232</v>
      </c>
    </row>
    <row r="206" spans="2:6" x14ac:dyDescent="0.25">
      <c r="B206" s="27" t="s">
        <v>10</v>
      </c>
      <c r="C206" s="19">
        <f>41079+(3*365)</f>
        <v>42174</v>
      </c>
      <c r="D206" s="18" t="s">
        <v>65</v>
      </c>
      <c r="E206" s="18" t="s">
        <v>64</v>
      </c>
      <c r="F206" s="21">
        <v>7470</v>
      </c>
    </row>
    <row r="207" spans="2:6" x14ac:dyDescent="0.25">
      <c r="B207" s="27" t="s">
        <v>11</v>
      </c>
      <c r="C207" s="19">
        <f>40486+(3*365)</f>
        <v>41581</v>
      </c>
      <c r="D207" s="18" t="s">
        <v>60</v>
      </c>
      <c r="E207" s="18" t="s">
        <v>66</v>
      </c>
      <c r="F207" s="21">
        <v>1944</v>
      </c>
    </row>
    <row r="208" spans="2:6" x14ac:dyDescent="0.25">
      <c r="B208" s="27" t="s">
        <v>8</v>
      </c>
      <c r="C208" s="19">
        <f>40945+(3*365)</f>
        <v>42040</v>
      </c>
      <c r="D208" s="18" t="s">
        <v>77</v>
      </c>
      <c r="E208" s="18" t="s">
        <v>59</v>
      </c>
      <c r="F208" s="21">
        <v>828</v>
      </c>
    </row>
    <row r="209" spans="2:6" x14ac:dyDescent="0.25">
      <c r="B209" s="27" t="s">
        <v>10</v>
      </c>
      <c r="C209" s="19">
        <f>39814+(3*365)</f>
        <v>40909</v>
      </c>
      <c r="D209" s="18" t="s">
        <v>65</v>
      </c>
      <c r="E209" s="18" t="s">
        <v>64</v>
      </c>
      <c r="F209" s="21">
        <v>17568</v>
      </c>
    </row>
    <row r="210" spans="2:6" x14ac:dyDescent="0.25">
      <c r="B210" s="27" t="s">
        <v>21</v>
      </c>
      <c r="C210" s="19">
        <f>39843+(3*365)</f>
        <v>40938</v>
      </c>
      <c r="D210" s="18" t="s">
        <v>73</v>
      </c>
      <c r="E210" s="18" t="s">
        <v>63</v>
      </c>
      <c r="F210" s="21">
        <v>259</v>
      </c>
    </row>
    <row r="211" spans="2:6" x14ac:dyDescent="0.25">
      <c r="B211" s="27" t="s">
        <v>18</v>
      </c>
      <c r="C211" s="19">
        <f>40874+(3*365)</f>
        <v>41969</v>
      </c>
      <c r="D211" s="18" t="s">
        <v>68</v>
      </c>
      <c r="E211" s="18" t="s">
        <v>69</v>
      </c>
      <c r="F211" s="21">
        <v>1260</v>
      </c>
    </row>
    <row r="212" spans="2:6" x14ac:dyDescent="0.25">
      <c r="B212" s="27" t="s">
        <v>11</v>
      </c>
      <c r="C212" s="19">
        <f>40881+(3*365)</f>
        <v>41976</v>
      </c>
      <c r="D212" s="18" t="s">
        <v>74</v>
      </c>
      <c r="E212" s="18" t="s">
        <v>72</v>
      </c>
      <c r="F212" s="21">
        <v>612</v>
      </c>
    </row>
    <row r="213" spans="2:6" x14ac:dyDescent="0.25">
      <c r="B213" s="27" t="s">
        <v>31</v>
      </c>
      <c r="C213" s="19">
        <f>40231+(3*365)</f>
        <v>41326</v>
      </c>
      <c r="D213" s="18" t="s">
        <v>70</v>
      </c>
      <c r="E213" s="18" t="s">
        <v>61</v>
      </c>
      <c r="F213" s="21">
        <v>792</v>
      </c>
    </row>
    <row r="214" spans="2:6" x14ac:dyDescent="0.25">
      <c r="B214" s="27" t="s">
        <v>31</v>
      </c>
      <c r="C214" s="19">
        <f>40007+(3*365)</f>
        <v>41102</v>
      </c>
      <c r="D214" s="18" t="s">
        <v>70</v>
      </c>
      <c r="E214" s="18" t="s">
        <v>66</v>
      </c>
      <c r="F214" s="21">
        <v>1344</v>
      </c>
    </row>
    <row r="215" spans="2:6" x14ac:dyDescent="0.25">
      <c r="B215" s="27" t="s">
        <v>31</v>
      </c>
      <c r="C215" s="19">
        <f>40450+(3*365)</f>
        <v>41545</v>
      </c>
      <c r="D215" s="18" t="s">
        <v>76</v>
      </c>
      <c r="E215" s="18" t="s">
        <v>63</v>
      </c>
      <c r="F215" s="21">
        <v>375</v>
      </c>
    </row>
    <row r="216" spans="2:6" x14ac:dyDescent="0.25">
      <c r="B216" s="27" t="s">
        <v>8</v>
      </c>
      <c r="C216" s="19">
        <f>40678+(3*365)</f>
        <v>41773</v>
      </c>
      <c r="D216" s="18" t="s">
        <v>77</v>
      </c>
      <c r="E216" s="18" t="s">
        <v>75</v>
      </c>
      <c r="F216" s="21">
        <v>352</v>
      </c>
    </row>
    <row r="217" spans="2:6" x14ac:dyDescent="0.25">
      <c r="B217" s="27" t="s">
        <v>10</v>
      </c>
      <c r="C217" s="19">
        <f>40409+(3*365)</f>
        <v>41504</v>
      </c>
      <c r="D217" s="18" t="s">
        <v>67</v>
      </c>
      <c r="E217" s="18" t="s">
        <v>66</v>
      </c>
      <c r="F217" s="21">
        <v>2214</v>
      </c>
    </row>
    <row r="218" spans="2:6" x14ac:dyDescent="0.25">
      <c r="B218" s="27" t="s">
        <v>18</v>
      </c>
      <c r="C218" s="19">
        <f>40676+(3*365)</f>
        <v>41771</v>
      </c>
      <c r="D218" s="18" t="s">
        <v>68</v>
      </c>
      <c r="E218" s="18" t="s">
        <v>59</v>
      </c>
      <c r="F218" s="21">
        <v>612</v>
      </c>
    </row>
    <row r="219" spans="2:6" x14ac:dyDescent="0.25">
      <c r="B219" s="27" t="s">
        <v>25</v>
      </c>
      <c r="C219" s="19">
        <f>41048+(3*365)</f>
        <v>42143</v>
      </c>
      <c r="D219" s="18" t="s">
        <v>78</v>
      </c>
      <c r="E219" s="18" t="s">
        <v>69</v>
      </c>
      <c r="F219" s="21">
        <v>346</v>
      </c>
    </row>
    <row r="220" spans="2:6" x14ac:dyDescent="0.25">
      <c r="B220" s="27" t="s">
        <v>21</v>
      </c>
      <c r="C220" s="19">
        <f>40567+(3*365)</f>
        <v>41662</v>
      </c>
      <c r="D220" s="18" t="s">
        <v>73</v>
      </c>
      <c r="E220" s="18" t="s">
        <v>69</v>
      </c>
      <c r="F220" s="21">
        <v>963</v>
      </c>
    </row>
    <row r="221" spans="2:6" x14ac:dyDescent="0.25">
      <c r="B221" s="27" t="s">
        <v>18</v>
      </c>
      <c r="C221" s="19">
        <f>40861+(3*365)</f>
        <v>41956</v>
      </c>
      <c r="D221" s="18" t="s">
        <v>71</v>
      </c>
      <c r="E221" s="18" t="s">
        <v>61</v>
      </c>
      <c r="F221" s="21">
        <v>1876</v>
      </c>
    </row>
    <row r="222" spans="2:6" x14ac:dyDescent="0.25">
      <c r="B222" s="27" t="s">
        <v>9</v>
      </c>
      <c r="C222" s="19">
        <f>40701+(3*365)</f>
        <v>41796</v>
      </c>
      <c r="D222" s="18" t="s">
        <v>80</v>
      </c>
      <c r="E222" s="18" t="s">
        <v>64</v>
      </c>
      <c r="F222" s="21">
        <v>1986</v>
      </c>
    </row>
    <row r="223" spans="2:6" x14ac:dyDescent="0.25">
      <c r="B223" s="27" t="s">
        <v>31</v>
      </c>
      <c r="C223" s="19">
        <f>40267+(3*365)</f>
        <v>41362</v>
      </c>
      <c r="D223" s="18" t="s">
        <v>70</v>
      </c>
      <c r="E223" s="18" t="s">
        <v>64</v>
      </c>
      <c r="F223" s="21">
        <v>15255</v>
      </c>
    </row>
    <row r="224" spans="2:6" x14ac:dyDescent="0.25">
      <c r="B224" s="27" t="s">
        <v>8</v>
      </c>
      <c r="C224" s="19">
        <f>39945+(3*365)</f>
        <v>41040</v>
      </c>
      <c r="D224" s="18" t="s">
        <v>81</v>
      </c>
      <c r="E224" s="18" t="s">
        <v>75</v>
      </c>
      <c r="F224" s="21">
        <v>696</v>
      </c>
    </row>
    <row r="225" spans="2:6" x14ac:dyDescent="0.25">
      <c r="B225" s="27" t="s">
        <v>31</v>
      </c>
      <c r="C225" s="19">
        <f>40320+(3*365)</f>
        <v>41415</v>
      </c>
      <c r="D225" s="18" t="s">
        <v>70</v>
      </c>
      <c r="E225" s="18" t="s">
        <v>64</v>
      </c>
      <c r="F225" s="21">
        <v>13512</v>
      </c>
    </row>
    <row r="226" spans="2:6" x14ac:dyDescent="0.25">
      <c r="B226" s="27" t="s">
        <v>9</v>
      </c>
      <c r="C226" s="19">
        <f>41082+(3*365)</f>
        <v>42177</v>
      </c>
      <c r="D226" s="18" t="s">
        <v>80</v>
      </c>
      <c r="E226" s="18" t="s">
        <v>72</v>
      </c>
      <c r="F226" s="21">
        <v>220</v>
      </c>
    </row>
    <row r="227" spans="2:6" x14ac:dyDescent="0.25">
      <c r="B227" s="27" t="s">
        <v>10</v>
      </c>
      <c r="C227" s="19">
        <f>40389+(3*365)</f>
        <v>41484</v>
      </c>
      <c r="D227" s="18" t="s">
        <v>65</v>
      </c>
      <c r="E227" s="18" t="s">
        <v>75</v>
      </c>
      <c r="F227" s="21">
        <v>261</v>
      </c>
    </row>
    <row r="228" spans="2:6" x14ac:dyDescent="0.25">
      <c r="B228" s="27" t="s">
        <v>18</v>
      </c>
      <c r="C228" s="19">
        <f>40169+(3*365)</f>
        <v>41264</v>
      </c>
      <c r="D228" s="18" t="s">
        <v>71</v>
      </c>
      <c r="E228" s="18" t="s">
        <v>66</v>
      </c>
      <c r="F228" s="21">
        <v>1530</v>
      </c>
    </row>
    <row r="229" spans="2:6" x14ac:dyDescent="0.25">
      <c r="B229" s="27" t="s">
        <v>9</v>
      </c>
      <c r="C229" s="19">
        <f>39949+(3*365)</f>
        <v>41044</v>
      </c>
      <c r="D229" s="18" t="s">
        <v>80</v>
      </c>
      <c r="E229" s="18" t="s">
        <v>59</v>
      </c>
      <c r="F229" s="21">
        <v>486</v>
      </c>
    </row>
    <row r="230" spans="2:6" x14ac:dyDescent="0.25">
      <c r="B230" s="27" t="s">
        <v>31</v>
      </c>
      <c r="C230" s="19">
        <f>40452+(3*365)</f>
        <v>41547</v>
      </c>
      <c r="D230" s="18" t="s">
        <v>76</v>
      </c>
      <c r="E230" s="18" t="s">
        <v>72</v>
      </c>
      <c r="F230" s="21">
        <v>2304</v>
      </c>
    </row>
    <row r="231" spans="2:6" x14ac:dyDescent="0.25">
      <c r="B231" s="27" t="s">
        <v>18</v>
      </c>
      <c r="C231" s="19">
        <f>40872+(3*365)</f>
        <v>41967</v>
      </c>
      <c r="D231" s="18" t="s">
        <v>71</v>
      </c>
      <c r="E231" s="18" t="s">
        <v>61</v>
      </c>
      <c r="F231" s="21">
        <v>1888</v>
      </c>
    </row>
    <row r="232" spans="2:6" x14ac:dyDescent="0.25">
      <c r="B232" s="27" t="s">
        <v>25</v>
      </c>
      <c r="C232" s="19">
        <f>40221+(3*365)</f>
        <v>41316</v>
      </c>
      <c r="D232" s="18" t="s">
        <v>78</v>
      </c>
      <c r="E232" s="18" t="s">
        <v>59</v>
      </c>
      <c r="F232" s="21">
        <v>528</v>
      </c>
    </row>
    <row r="233" spans="2:6" x14ac:dyDescent="0.25">
      <c r="B233" s="27" t="s">
        <v>10</v>
      </c>
      <c r="C233" s="19">
        <f>40288+(3*365)</f>
        <v>41383</v>
      </c>
      <c r="D233" s="18" t="s">
        <v>65</v>
      </c>
      <c r="E233" s="18" t="s">
        <v>75</v>
      </c>
      <c r="F233" s="21">
        <v>432</v>
      </c>
    </row>
    <row r="234" spans="2:6" x14ac:dyDescent="0.25">
      <c r="B234" s="27" t="s">
        <v>18</v>
      </c>
      <c r="C234" s="19">
        <f>40563+(3*365)</f>
        <v>41658</v>
      </c>
      <c r="D234" s="18" t="s">
        <v>71</v>
      </c>
      <c r="E234" s="18" t="s">
        <v>64</v>
      </c>
      <c r="F234" s="21">
        <v>8340</v>
      </c>
    </row>
    <row r="235" spans="2:6" x14ac:dyDescent="0.25">
      <c r="B235" s="27" t="s">
        <v>9</v>
      </c>
      <c r="C235" s="19">
        <f>40517+(3*365)</f>
        <v>41612</v>
      </c>
      <c r="D235" s="18" t="s">
        <v>62</v>
      </c>
      <c r="E235" s="18" t="s">
        <v>59</v>
      </c>
      <c r="F235" s="21">
        <v>558</v>
      </c>
    </row>
    <row r="236" spans="2:6" x14ac:dyDescent="0.25">
      <c r="B236" s="27" t="s">
        <v>18</v>
      </c>
      <c r="C236" s="19">
        <f>40782+(3*365)</f>
        <v>41877</v>
      </c>
      <c r="D236" s="18" t="s">
        <v>68</v>
      </c>
      <c r="E236" s="18" t="s">
        <v>63</v>
      </c>
      <c r="F236" s="21">
        <v>2016</v>
      </c>
    </row>
    <row r="237" spans="2:6" x14ac:dyDescent="0.25">
      <c r="B237" s="27" t="s">
        <v>11</v>
      </c>
      <c r="C237" s="19">
        <f>39909+(3*365)</f>
        <v>41004</v>
      </c>
      <c r="D237" s="18" t="s">
        <v>74</v>
      </c>
      <c r="E237" s="18" t="s">
        <v>61</v>
      </c>
      <c r="F237" s="21">
        <v>780</v>
      </c>
    </row>
    <row r="238" spans="2:6" x14ac:dyDescent="0.25">
      <c r="B238" s="27" t="s">
        <v>18</v>
      </c>
      <c r="C238" s="19">
        <f>40124+(3*365)</f>
        <v>41219</v>
      </c>
      <c r="D238" s="18" t="s">
        <v>71</v>
      </c>
      <c r="E238" s="18" t="s">
        <v>63</v>
      </c>
      <c r="F238" s="21">
        <v>720</v>
      </c>
    </row>
    <row r="239" spans="2:6" x14ac:dyDescent="0.25">
      <c r="B239" s="27" t="s">
        <v>31</v>
      </c>
      <c r="C239" s="19">
        <f>39996+(3*365)</f>
        <v>41091</v>
      </c>
      <c r="D239" s="18" t="s">
        <v>76</v>
      </c>
      <c r="E239" s="18" t="s">
        <v>66</v>
      </c>
      <c r="F239" s="21">
        <v>252</v>
      </c>
    </row>
    <row r="240" spans="2:6" x14ac:dyDescent="0.25">
      <c r="B240" s="27" t="s">
        <v>11</v>
      </c>
      <c r="C240" s="19">
        <f>39920+(3*365)</f>
        <v>41015</v>
      </c>
      <c r="D240" s="18" t="s">
        <v>74</v>
      </c>
      <c r="E240" s="18" t="s">
        <v>66</v>
      </c>
      <c r="F240" s="21">
        <v>1752</v>
      </c>
    </row>
    <row r="241" spans="2:6" x14ac:dyDescent="0.25">
      <c r="B241" s="27" t="s">
        <v>18</v>
      </c>
      <c r="C241" s="19">
        <f>40963+(3*365)</f>
        <v>42058</v>
      </c>
      <c r="D241" s="18" t="s">
        <v>71</v>
      </c>
      <c r="E241" s="18" t="s">
        <v>75</v>
      </c>
      <c r="F241" s="21">
        <v>216</v>
      </c>
    </row>
    <row r="242" spans="2:6" x14ac:dyDescent="0.25">
      <c r="B242" s="27" t="s">
        <v>31</v>
      </c>
      <c r="C242" s="19">
        <f>40311+(3*365)</f>
        <v>41406</v>
      </c>
      <c r="D242" s="18" t="s">
        <v>76</v>
      </c>
      <c r="E242" s="18" t="s">
        <v>66</v>
      </c>
      <c r="F242" s="21">
        <v>1344</v>
      </c>
    </row>
    <row r="243" spans="2:6" x14ac:dyDescent="0.25">
      <c r="B243" s="27" t="s">
        <v>25</v>
      </c>
      <c r="C243" s="19">
        <f>40211+(3*365)</f>
        <v>41306</v>
      </c>
      <c r="D243" s="18" t="s">
        <v>78</v>
      </c>
      <c r="E243" s="18" t="s">
        <v>66</v>
      </c>
      <c r="F243" s="21">
        <v>2268</v>
      </c>
    </row>
    <row r="244" spans="2:6" x14ac:dyDescent="0.25">
      <c r="B244" s="27" t="s">
        <v>18</v>
      </c>
      <c r="C244" s="19">
        <f>40919+(3*365)</f>
        <v>42014</v>
      </c>
      <c r="D244" s="18" t="s">
        <v>71</v>
      </c>
      <c r="E244" s="18" t="s">
        <v>75</v>
      </c>
      <c r="F244" s="21">
        <v>207</v>
      </c>
    </row>
    <row r="245" spans="2:6" x14ac:dyDescent="0.25">
      <c r="B245" s="27" t="s">
        <v>9</v>
      </c>
      <c r="C245" s="19">
        <f>39959+(3*365)</f>
        <v>41054</v>
      </c>
      <c r="D245" s="18" t="s">
        <v>80</v>
      </c>
      <c r="E245" s="18" t="s">
        <v>69</v>
      </c>
      <c r="F245" s="21">
        <v>2424</v>
      </c>
    </row>
    <row r="246" spans="2:6" x14ac:dyDescent="0.25">
      <c r="B246" s="27" t="s">
        <v>31</v>
      </c>
      <c r="C246" s="19">
        <f>40907+(3*365)</f>
        <v>42002</v>
      </c>
      <c r="D246" s="18" t="s">
        <v>70</v>
      </c>
      <c r="E246" s="18" t="s">
        <v>61</v>
      </c>
      <c r="F246" s="21">
        <v>156</v>
      </c>
    </row>
    <row r="247" spans="2:6" x14ac:dyDescent="0.25">
      <c r="B247" s="27" t="s">
        <v>8</v>
      </c>
      <c r="C247" s="19">
        <f>40227+(3*365)</f>
        <v>41322</v>
      </c>
      <c r="D247" s="18" t="s">
        <v>81</v>
      </c>
      <c r="E247" s="18" t="s">
        <v>69</v>
      </c>
      <c r="F247" s="21">
        <v>3220</v>
      </c>
    </row>
    <row r="248" spans="2:6" x14ac:dyDescent="0.25">
      <c r="B248" s="27" t="s">
        <v>9</v>
      </c>
      <c r="C248" s="19">
        <f>40282+(3*365)</f>
        <v>41377</v>
      </c>
      <c r="D248" s="18" t="s">
        <v>62</v>
      </c>
      <c r="E248" s="18" t="s">
        <v>66</v>
      </c>
      <c r="F248" s="21">
        <v>420</v>
      </c>
    </row>
    <row r="249" spans="2:6" x14ac:dyDescent="0.25">
      <c r="B249" s="27" t="s">
        <v>18</v>
      </c>
      <c r="C249" s="19">
        <f>41187+(3*365)</f>
        <v>42282</v>
      </c>
      <c r="D249" s="18" t="s">
        <v>71</v>
      </c>
      <c r="E249" s="18" t="s">
        <v>63</v>
      </c>
      <c r="F249" s="21">
        <v>390</v>
      </c>
    </row>
    <row r="250" spans="2:6" x14ac:dyDescent="0.25">
      <c r="B250" s="27" t="s">
        <v>11</v>
      </c>
      <c r="C250" s="19">
        <f>40929+(3*365)</f>
        <v>42024</v>
      </c>
      <c r="D250" s="18" t="s">
        <v>60</v>
      </c>
      <c r="E250" s="18" t="s">
        <v>72</v>
      </c>
      <c r="F250" s="21">
        <v>972</v>
      </c>
    </row>
    <row r="251" spans="2:6" x14ac:dyDescent="0.25">
      <c r="B251" s="27" t="s">
        <v>31</v>
      </c>
      <c r="C251" s="19">
        <f>40356+(3*365)</f>
        <v>41451</v>
      </c>
      <c r="D251" s="18" t="s">
        <v>76</v>
      </c>
      <c r="E251" s="18" t="s">
        <v>69</v>
      </c>
      <c r="F251" s="21">
        <v>1440</v>
      </c>
    </row>
    <row r="252" spans="2:6" x14ac:dyDescent="0.25">
      <c r="B252" s="27" t="s">
        <v>21</v>
      </c>
      <c r="C252" s="19">
        <f>40336+(3*365)</f>
        <v>41431</v>
      </c>
      <c r="D252" s="18" t="s">
        <v>73</v>
      </c>
      <c r="E252" s="18" t="s">
        <v>75</v>
      </c>
      <c r="F252" s="21">
        <v>528</v>
      </c>
    </row>
    <row r="253" spans="2:6" x14ac:dyDescent="0.25">
      <c r="B253" s="27" t="s">
        <v>11</v>
      </c>
      <c r="C253" s="19">
        <f>40072+(3*365)</f>
        <v>41167</v>
      </c>
      <c r="D253" s="18" t="s">
        <v>74</v>
      </c>
      <c r="E253" s="18" t="s">
        <v>66</v>
      </c>
      <c r="F253" s="21">
        <v>750</v>
      </c>
    </row>
    <row r="254" spans="2:6" x14ac:dyDescent="0.25">
      <c r="B254" s="27" t="s">
        <v>21</v>
      </c>
      <c r="C254" s="19">
        <f>40393+(3*365)</f>
        <v>41488</v>
      </c>
      <c r="D254" s="18" t="s">
        <v>58</v>
      </c>
      <c r="E254" s="18" t="s">
        <v>59</v>
      </c>
      <c r="F254" s="21">
        <v>156</v>
      </c>
    </row>
    <row r="255" spans="2:6" x14ac:dyDescent="0.25">
      <c r="B255" s="27" t="s">
        <v>31</v>
      </c>
      <c r="C255" s="19">
        <f>40120+(3*365)</f>
        <v>41215</v>
      </c>
      <c r="D255" s="18" t="s">
        <v>70</v>
      </c>
      <c r="E255" s="18" t="s">
        <v>66</v>
      </c>
      <c r="F255" s="21">
        <v>378</v>
      </c>
    </row>
    <row r="256" spans="2:6" x14ac:dyDescent="0.25">
      <c r="B256" s="27" t="s">
        <v>21</v>
      </c>
      <c r="C256" s="19">
        <f>40494+(3*365)</f>
        <v>41589</v>
      </c>
      <c r="D256" s="18" t="s">
        <v>58</v>
      </c>
      <c r="E256" s="18" t="s">
        <v>69</v>
      </c>
      <c r="F256" s="21">
        <v>2610</v>
      </c>
    </row>
    <row r="257" spans="2:6" x14ac:dyDescent="0.25">
      <c r="B257" s="27" t="s">
        <v>31</v>
      </c>
      <c r="C257" s="19">
        <f>40265+(3*365)</f>
        <v>41360</v>
      </c>
      <c r="D257" s="18" t="s">
        <v>70</v>
      </c>
      <c r="E257" s="18" t="s">
        <v>64</v>
      </c>
      <c r="F257" s="21">
        <v>7200</v>
      </c>
    </row>
    <row r="258" spans="2:6" x14ac:dyDescent="0.25">
      <c r="B258" s="27" t="s">
        <v>25</v>
      </c>
      <c r="C258" s="19">
        <f>40818+(3*365)</f>
        <v>41913</v>
      </c>
      <c r="D258" s="18" t="s">
        <v>78</v>
      </c>
      <c r="E258" s="18" t="s">
        <v>59</v>
      </c>
      <c r="F258" s="21">
        <v>348</v>
      </c>
    </row>
    <row r="259" spans="2:6" x14ac:dyDescent="0.25">
      <c r="B259" s="27" t="s">
        <v>10</v>
      </c>
      <c r="C259" s="19">
        <f>40664+(3*365)</f>
        <v>41759</v>
      </c>
      <c r="D259" s="18" t="s">
        <v>65</v>
      </c>
      <c r="E259" s="18" t="s">
        <v>75</v>
      </c>
      <c r="F259" s="21">
        <v>154</v>
      </c>
    </row>
    <row r="260" spans="2:6" x14ac:dyDescent="0.25">
      <c r="B260" s="27" t="s">
        <v>11</v>
      </c>
      <c r="C260" s="19">
        <f>40314+(3*365)</f>
        <v>41409</v>
      </c>
      <c r="D260" s="18" t="s">
        <v>60</v>
      </c>
      <c r="E260" s="18" t="s">
        <v>66</v>
      </c>
      <c r="F260" s="21">
        <v>711</v>
      </c>
    </row>
    <row r="261" spans="2:6" x14ac:dyDescent="0.25">
      <c r="B261" s="27" t="s">
        <v>31</v>
      </c>
      <c r="C261" s="19">
        <f>40610+(3*365)</f>
        <v>41705</v>
      </c>
      <c r="D261" s="18" t="s">
        <v>76</v>
      </c>
      <c r="E261" s="18" t="s">
        <v>63</v>
      </c>
      <c r="F261" s="21">
        <v>1035</v>
      </c>
    </row>
    <row r="262" spans="2:6" x14ac:dyDescent="0.25">
      <c r="B262" s="27" t="s">
        <v>10</v>
      </c>
      <c r="C262" s="19">
        <f>41055+(3*365)</f>
        <v>42150</v>
      </c>
      <c r="D262" s="18" t="s">
        <v>65</v>
      </c>
      <c r="E262" s="18" t="s">
        <v>72</v>
      </c>
      <c r="F262" s="21">
        <v>135</v>
      </c>
    </row>
    <row r="263" spans="2:6" x14ac:dyDescent="0.25">
      <c r="B263" s="27" t="s">
        <v>21</v>
      </c>
      <c r="C263" s="19">
        <f>41147+(3*365)</f>
        <v>42242</v>
      </c>
      <c r="D263" s="18" t="s">
        <v>73</v>
      </c>
      <c r="E263" s="18" t="s">
        <v>69</v>
      </c>
      <c r="F263" s="21">
        <v>1020</v>
      </c>
    </row>
    <row r="264" spans="2:6" x14ac:dyDescent="0.25">
      <c r="B264" s="27" t="s">
        <v>11</v>
      </c>
      <c r="C264" s="19">
        <f>40453+(3*365)</f>
        <v>41548</v>
      </c>
      <c r="D264" s="18" t="s">
        <v>74</v>
      </c>
      <c r="E264" s="18" t="s">
        <v>75</v>
      </c>
      <c r="F264" s="21">
        <v>297</v>
      </c>
    </row>
    <row r="265" spans="2:6" x14ac:dyDescent="0.25">
      <c r="B265" s="27" t="s">
        <v>10</v>
      </c>
      <c r="C265" s="19">
        <f>39841+(3*365)</f>
        <v>40936</v>
      </c>
      <c r="D265" s="18" t="s">
        <v>67</v>
      </c>
      <c r="E265" s="18" t="s">
        <v>69</v>
      </c>
      <c r="F265" s="21">
        <v>392</v>
      </c>
    </row>
    <row r="266" spans="2:6" x14ac:dyDescent="0.25">
      <c r="B266" s="27" t="s">
        <v>8</v>
      </c>
      <c r="C266" s="19">
        <f>40730+(3*365)</f>
        <v>41825</v>
      </c>
      <c r="D266" s="18" t="s">
        <v>77</v>
      </c>
      <c r="E266" s="18" t="s">
        <v>69</v>
      </c>
      <c r="F266" s="21">
        <v>3640</v>
      </c>
    </row>
    <row r="267" spans="2:6" x14ac:dyDescent="0.25">
      <c r="B267" s="27" t="s">
        <v>10</v>
      </c>
      <c r="C267" s="19">
        <f>40465+(3*365)</f>
        <v>41560</v>
      </c>
      <c r="D267" s="18" t="s">
        <v>65</v>
      </c>
      <c r="E267" s="18" t="s">
        <v>64</v>
      </c>
      <c r="F267" s="21">
        <v>19521</v>
      </c>
    </row>
    <row r="268" spans="2:6" x14ac:dyDescent="0.25">
      <c r="B268" s="27" t="s">
        <v>25</v>
      </c>
      <c r="C268" s="19">
        <f>39971+(3*365)</f>
        <v>41066</v>
      </c>
      <c r="D268" s="18" t="s">
        <v>78</v>
      </c>
      <c r="E268" s="18" t="s">
        <v>61</v>
      </c>
      <c r="F268" s="21">
        <v>420</v>
      </c>
    </row>
    <row r="269" spans="2:6" x14ac:dyDescent="0.25">
      <c r="B269" s="27" t="s">
        <v>8</v>
      </c>
      <c r="C269" s="19">
        <f>41006+(3*365)</f>
        <v>42101</v>
      </c>
      <c r="D269" s="18" t="s">
        <v>77</v>
      </c>
      <c r="E269" s="18" t="s">
        <v>59</v>
      </c>
      <c r="F269" s="21">
        <v>864</v>
      </c>
    </row>
    <row r="270" spans="2:6" x14ac:dyDescent="0.25">
      <c r="B270" s="27" t="s">
        <v>9</v>
      </c>
      <c r="C270" s="19">
        <f>39868+(3*365)</f>
        <v>40963</v>
      </c>
      <c r="D270" s="18" t="s">
        <v>80</v>
      </c>
      <c r="E270" s="18" t="s">
        <v>59</v>
      </c>
      <c r="F270" s="21">
        <v>340</v>
      </c>
    </row>
    <row r="271" spans="2:6" x14ac:dyDescent="0.25">
      <c r="B271" s="27" t="s">
        <v>11</v>
      </c>
      <c r="C271" s="19">
        <f>40180+(3*365)</f>
        <v>41275</v>
      </c>
      <c r="D271" s="18" t="s">
        <v>74</v>
      </c>
      <c r="E271" s="18" t="s">
        <v>69</v>
      </c>
      <c r="F271" s="21">
        <v>1224</v>
      </c>
    </row>
    <row r="272" spans="2:6" x14ac:dyDescent="0.25">
      <c r="B272" s="27" t="s">
        <v>25</v>
      </c>
      <c r="C272" s="19">
        <f>40430+(3*365)</f>
        <v>41525</v>
      </c>
      <c r="D272" s="18" t="s">
        <v>79</v>
      </c>
      <c r="E272" s="18" t="s">
        <v>66</v>
      </c>
      <c r="F272" s="21">
        <v>216</v>
      </c>
    </row>
    <row r="273" spans="2:6" x14ac:dyDescent="0.25">
      <c r="B273" s="27" t="s">
        <v>18</v>
      </c>
      <c r="C273" s="19">
        <f>41185+(3*365)</f>
        <v>42280</v>
      </c>
      <c r="D273" s="18" t="s">
        <v>68</v>
      </c>
      <c r="E273" s="18" t="s">
        <v>63</v>
      </c>
      <c r="F273" s="21">
        <v>1071</v>
      </c>
    </row>
    <row r="274" spans="2:6" x14ac:dyDescent="0.25">
      <c r="B274" s="27" t="s">
        <v>10</v>
      </c>
      <c r="C274" s="19">
        <f>40982+(3*365)</f>
        <v>42077</v>
      </c>
      <c r="D274" s="18" t="s">
        <v>67</v>
      </c>
      <c r="E274" s="18" t="s">
        <v>66</v>
      </c>
      <c r="F274" s="21">
        <v>270</v>
      </c>
    </row>
    <row r="275" spans="2:6" x14ac:dyDescent="0.25">
      <c r="B275" s="27" t="s">
        <v>9</v>
      </c>
      <c r="C275" s="19">
        <f>41046+(3*365)</f>
        <v>42141</v>
      </c>
      <c r="D275" s="18" t="s">
        <v>62</v>
      </c>
      <c r="E275" s="18" t="s">
        <v>59</v>
      </c>
      <c r="F275" s="21">
        <v>98</v>
      </c>
    </row>
    <row r="276" spans="2:6" x14ac:dyDescent="0.25">
      <c r="B276" s="27" t="s">
        <v>10</v>
      </c>
      <c r="C276" s="19">
        <f>40477+(3*365)</f>
        <v>41572</v>
      </c>
      <c r="D276" s="18" t="s">
        <v>65</v>
      </c>
      <c r="E276" s="18" t="s">
        <v>75</v>
      </c>
      <c r="F276" s="21">
        <v>252</v>
      </c>
    </row>
    <row r="277" spans="2:6" x14ac:dyDescent="0.25">
      <c r="B277" s="27" t="s">
        <v>8</v>
      </c>
      <c r="C277" s="19">
        <f>41019+(3*365)</f>
        <v>42114</v>
      </c>
      <c r="D277" s="18" t="s">
        <v>81</v>
      </c>
      <c r="E277" s="18" t="s">
        <v>69</v>
      </c>
      <c r="F277" s="21">
        <v>324</v>
      </c>
    </row>
    <row r="278" spans="2:6" x14ac:dyDescent="0.25">
      <c r="B278" s="27" t="s">
        <v>31</v>
      </c>
      <c r="C278" s="19">
        <f>40467+(3*365)</f>
        <v>41562</v>
      </c>
      <c r="D278" s="18" t="s">
        <v>70</v>
      </c>
      <c r="E278" s="18" t="s">
        <v>63</v>
      </c>
      <c r="F278" s="21">
        <v>144</v>
      </c>
    </row>
    <row r="279" spans="2:6" x14ac:dyDescent="0.25">
      <c r="B279" s="27" t="s">
        <v>9</v>
      </c>
      <c r="C279" s="19">
        <f>41031+(3*365)</f>
        <v>42126</v>
      </c>
      <c r="D279" s="18" t="s">
        <v>62</v>
      </c>
      <c r="E279" s="18" t="s">
        <v>61</v>
      </c>
      <c r="F279" s="21">
        <v>336</v>
      </c>
    </row>
    <row r="280" spans="2:6" x14ac:dyDescent="0.25">
      <c r="B280" s="27" t="s">
        <v>21</v>
      </c>
      <c r="C280" s="19">
        <f>40018+(3*365)</f>
        <v>41113</v>
      </c>
      <c r="D280" s="18" t="s">
        <v>58</v>
      </c>
      <c r="E280" s="18" t="s">
        <v>72</v>
      </c>
      <c r="F280" s="21">
        <v>1616</v>
      </c>
    </row>
    <row r="281" spans="2:6" x14ac:dyDescent="0.25">
      <c r="B281" s="27" t="s">
        <v>10</v>
      </c>
      <c r="C281" s="19">
        <f>41107+(3*365)</f>
        <v>42202</v>
      </c>
      <c r="D281" s="18" t="s">
        <v>65</v>
      </c>
      <c r="E281" s="18" t="s">
        <v>66</v>
      </c>
      <c r="F281" s="21">
        <v>702</v>
      </c>
    </row>
    <row r="282" spans="2:6" x14ac:dyDescent="0.25">
      <c r="B282" s="27" t="s">
        <v>8</v>
      </c>
      <c r="C282" s="19">
        <f>40848+(3*365)</f>
        <v>41943</v>
      </c>
      <c r="D282" s="18" t="s">
        <v>81</v>
      </c>
      <c r="E282" s="18" t="s">
        <v>66</v>
      </c>
      <c r="F282" s="21">
        <v>984</v>
      </c>
    </row>
    <row r="283" spans="2:6" x14ac:dyDescent="0.25">
      <c r="B283" s="27" t="s">
        <v>11</v>
      </c>
      <c r="C283" s="19">
        <f>40883+(3*365)</f>
        <v>41978</v>
      </c>
      <c r="D283" s="18" t="s">
        <v>60</v>
      </c>
      <c r="E283" s="18" t="s">
        <v>59</v>
      </c>
      <c r="F283" s="21">
        <v>84</v>
      </c>
    </row>
    <row r="284" spans="2:6" x14ac:dyDescent="0.25">
      <c r="B284" s="27" t="s">
        <v>31</v>
      </c>
      <c r="C284" s="19">
        <f>40420+(3*365)</f>
        <v>41515</v>
      </c>
      <c r="D284" s="18" t="s">
        <v>76</v>
      </c>
      <c r="E284" s="18" t="s">
        <v>75</v>
      </c>
      <c r="F284" s="21">
        <v>288</v>
      </c>
    </row>
    <row r="285" spans="2:6" x14ac:dyDescent="0.25">
      <c r="B285" s="27" t="s">
        <v>18</v>
      </c>
      <c r="C285" s="19">
        <f>40663+(3*365)</f>
        <v>41758</v>
      </c>
      <c r="D285" s="18" t="s">
        <v>71</v>
      </c>
      <c r="E285" s="18" t="s">
        <v>72</v>
      </c>
      <c r="F285" s="21">
        <v>656</v>
      </c>
    </row>
    <row r="286" spans="2:6" x14ac:dyDescent="0.25">
      <c r="B286" s="27" t="s">
        <v>8</v>
      </c>
      <c r="C286" s="19">
        <f>39856+(3*365)</f>
        <v>40951</v>
      </c>
      <c r="D286" s="18" t="s">
        <v>77</v>
      </c>
      <c r="E286" s="18" t="s">
        <v>72</v>
      </c>
      <c r="F286" s="21">
        <v>2244</v>
      </c>
    </row>
    <row r="287" spans="2:6" x14ac:dyDescent="0.25">
      <c r="B287" s="27" t="s">
        <v>21</v>
      </c>
      <c r="C287" s="19">
        <f>40364+(3*365)</f>
        <v>41459</v>
      </c>
      <c r="D287" s="18" t="s">
        <v>73</v>
      </c>
      <c r="E287" s="18" t="s">
        <v>63</v>
      </c>
      <c r="F287" s="21">
        <v>54</v>
      </c>
    </row>
    <row r="288" spans="2:6" x14ac:dyDescent="0.25">
      <c r="B288" s="27" t="s">
        <v>18</v>
      </c>
      <c r="C288" s="19">
        <f>40636+(3*365)</f>
        <v>41731</v>
      </c>
      <c r="D288" s="18" t="s">
        <v>71</v>
      </c>
      <c r="E288" s="18" t="s">
        <v>61</v>
      </c>
      <c r="F288" s="21">
        <v>1152</v>
      </c>
    </row>
    <row r="289" spans="2:6" x14ac:dyDescent="0.25">
      <c r="B289" s="27" t="s">
        <v>25</v>
      </c>
      <c r="C289" s="19">
        <f>39919+(3*365)</f>
        <v>41014</v>
      </c>
      <c r="D289" s="18" t="s">
        <v>78</v>
      </c>
      <c r="E289" s="18" t="s">
        <v>75</v>
      </c>
      <c r="F289" s="21">
        <v>34</v>
      </c>
    </row>
    <row r="290" spans="2:6" x14ac:dyDescent="0.25">
      <c r="B290" s="27" t="s">
        <v>25</v>
      </c>
      <c r="C290" s="19">
        <f>40292+(3*365)</f>
        <v>41387</v>
      </c>
      <c r="D290" s="18" t="s">
        <v>78</v>
      </c>
      <c r="E290" s="18" t="s">
        <v>72</v>
      </c>
      <c r="F290" s="21">
        <v>444</v>
      </c>
    </row>
    <row r="291" spans="2:6" x14ac:dyDescent="0.25">
      <c r="B291" s="27" t="s">
        <v>10</v>
      </c>
      <c r="C291" s="19">
        <f>40636+(3*365)</f>
        <v>41731</v>
      </c>
      <c r="D291" s="18" t="s">
        <v>67</v>
      </c>
      <c r="E291" s="18" t="s">
        <v>75</v>
      </c>
      <c r="F291" s="21">
        <v>88</v>
      </c>
    </row>
    <row r="292" spans="2:6" x14ac:dyDescent="0.25">
      <c r="B292" s="27" t="s">
        <v>9</v>
      </c>
      <c r="C292" s="19">
        <f>40283+(3*365)</f>
        <v>41378</v>
      </c>
      <c r="D292" s="18" t="s">
        <v>80</v>
      </c>
      <c r="E292" s="18" t="s">
        <v>72</v>
      </c>
      <c r="F292" s="21">
        <v>3204</v>
      </c>
    </row>
    <row r="293" spans="2:6" x14ac:dyDescent="0.25">
      <c r="B293" s="27" t="s">
        <v>8</v>
      </c>
      <c r="C293" s="19">
        <f>40972+(3*365)</f>
        <v>42067</v>
      </c>
      <c r="D293" s="18" t="s">
        <v>81</v>
      </c>
      <c r="E293" s="18" t="s">
        <v>59</v>
      </c>
      <c r="F293" s="21">
        <v>300</v>
      </c>
    </row>
    <row r="294" spans="2:6" x14ac:dyDescent="0.25">
      <c r="B294" s="27" t="s">
        <v>21</v>
      </c>
      <c r="C294" s="19">
        <f>40342+(3*365)</f>
        <v>41437</v>
      </c>
      <c r="D294" s="18" t="s">
        <v>73</v>
      </c>
      <c r="E294" s="18" t="s">
        <v>69</v>
      </c>
      <c r="F294" s="21">
        <v>2430</v>
      </c>
    </row>
    <row r="295" spans="2:6" x14ac:dyDescent="0.25">
      <c r="B295" s="27" t="s">
        <v>10</v>
      </c>
      <c r="C295" s="19">
        <f>40782+(3*365)</f>
        <v>41877</v>
      </c>
      <c r="D295" s="18" t="s">
        <v>67</v>
      </c>
      <c r="E295" s="18" t="s">
        <v>64</v>
      </c>
      <c r="F295" s="21">
        <v>1120</v>
      </c>
    </row>
    <row r="296" spans="2:6" x14ac:dyDescent="0.25">
      <c r="B296" s="27" t="s">
        <v>11</v>
      </c>
      <c r="C296" s="19">
        <f>40162+(3*365)</f>
        <v>41257</v>
      </c>
      <c r="D296" s="18" t="s">
        <v>74</v>
      </c>
      <c r="E296" s="18" t="s">
        <v>64</v>
      </c>
      <c r="F296" s="21">
        <v>2319</v>
      </c>
    </row>
    <row r="297" spans="2:6" x14ac:dyDescent="0.25">
      <c r="B297" s="27" t="s">
        <v>25</v>
      </c>
      <c r="C297" s="19">
        <f>41258+(3*365)</f>
        <v>42353</v>
      </c>
      <c r="D297" s="18" t="s">
        <v>78</v>
      </c>
      <c r="E297" s="18" t="s">
        <v>59</v>
      </c>
      <c r="F297" s="21">
        <v>180</v>
      </c>
    </row>
    <row r="298" spans="2:6" x14ac:dyDescent="0.25">
      <c r="B298" s="27" t="s">
        <v>25</v>
      </c>
      <c r="C298" s="19">
        <f>40370+(3*365)</f>
        <v>41465</v>
      </c>
      <c r="D298" s="18" t="s">
        <v>79</v>
      </c>
      <c r="E298" s="18" t="s">
        <v>75</v>
      </c>
      <c r="F298" s="21">
        <v>252</v>
      </c>
    </row>
    <row r="299" spans="2:6" x14ac:dyDescent="0.25">
      <c r="B299" s="27" t="s">
        <v>18</v>
      </c>
      <c r="C299" s="19">
        <f>40634+(3*365)</f>
        <v>41729</v>
      </c>
      <c r="D299" s="18" t="s">
        <v>68</v>
      </c>
      <c r="E299" s="18" t="s">
        <v>61</v>
      </c>
      <c r="F299" s="21">
        <v>1040</v>
      </c>
    </row>
    <row r="300" spans="2:6" x14ac:dyDescent="0.25">
      <c r="B300" s="27" t="s">
        <v>25</v>
      </c>
      <c r="C300" s="19">
        <f>39963+(3*365)</f>
        <v>41058</v>
      </c>
      <c r="D300" s="18" t="s">
        <v>78</v>
      </c>
      <c r="E300" s="18" t="s">
        <v>61</v>
      </c>
      <c r="F300" s="21">
        <v>560</v>
      </c>
    </row>
    <row r="301" spans="2:6" x14ac:dyDescent="0.25">
      <c r="B301" s="27" t="s">
        <v>25</v>
      </c>
      <c r="C301" s="19">
        <f>39929+(3*365)</f>
        <v>41024</v>
      </c>
      <c r="D301" s="18" t="s">
        <v>79</v>
      </c>
      <c r="E301" s="18" t="s">
        <v>66</v>
      </c>
      <c r="F301" s="21">
        <v>312</v>
      </c>
    </row>
    <row r="302" spans="2:6" x14ac:dyDescent="0.25">
      <c r="B302" s="27" t="s">
        <v>21</v>
      </c>
      <c r="C302" s="19">
        <f>39906+(3*365)</f>
        <v>41001</v>
      </c>
      <c r="D302" s="18" t="s">
        <v>73</v>
      </c>
      <c r="E302" s="18" t="s">
        <v>61</v>
      </c>
      <c r="F302" s="21">
        <v>27</v>
      </c>
    </row>
    <row r="303" spans="2:6" x14ac:dyDescent="0.25">
      <c r="B303" s="27" t="s">
        <v>31</v>
      </c>
      <c r="C303" s="19">
        <f>41054+(3*365)</f>
        <v>42149</v>
      </c>
      <c r="D303" s="18" t="s">
        <v>76</v>
      </c>
      <c r="E303" s="18" t="s">
        <v>63</v>
      </c>
      <c r="F303" s="21">
        <v>1005</v>
      </c>
    </row>
    <row r="304" spans="2:6" x14ac:dyDescent="0.25">
      <c r="B304" s="27" t="s">
        <v>11</v>
      </c>
      <c r="C304" s="19">
        <f>39940+(3*365)</f>
        <v>41035</v>
      </c>
      <c r="D304" s="18" t="s">
        <v>60</v>
      </c>
      <c r="E304" s="18" t="s">
        <v>61</v>
      </c>
      <c r="F304" s="21">
        <v>1062</v>
      </c>
    </row>
    <row r="305" spans="2:6" x14ac:dyDescent="0.25">
      <c r="B305" s="27" t="s">
        <v>9</v>
      </c>
      <c r="C305" s="19">
        <f>40197+(3*365)</f>
        <v>41292</v>
      </c>
      <c r="D305" s="18" t="s">
        <v>80</v>
      </c>
      <c r="E305" s="18" t="s">
        <v>61</v>
      </c>
      <c r="F305" s="21">
        <v>232</v>
      </c>
    </row>
    <row r="306" spans="2:6" x14ac:dyDescent="0.25">
      <c r="B306" s="27" t="s">
        <v>18</v>
      </c>
      <c r="C306" s="19">
        <f>41010+(3*365)</f>
        <v>42105</v>
      </c>
      <c r="D306" s="18" t="s">
        <v>68</v>
      </c>
      <c r="E306" s="18" t="s">
        <v>72</v>
      </c>
      <c r="F306" s="21">
        <v>1785</v>
      </c>
    </row>
    <row r="307" spans="2:6" x14ac:dyDescent="0.25">
      <c r="B307" s="27" t="s">
        <v>18</v>
      </c>
      <c r="C307" s="19">
        <f>40771+(3*365)</f>
        <v>41866</v>
      </c>
      <c r="D307" s="18" t="s">
        <v>68</v>
      </c>
      <c r="E307" s="18" t="s">
        <v>66</v>
      </c>
      <c r="F307" s="21">
        <v>940</v>
      </c>
    </row>
    <row r="308" spans="2:6" x14ac:dyDescent="0.25">
      <c r="B308" s="27" t="s">
        <v>9</v>
      </c>
      <c r="C308" s="19">
        <f>40699+(3*365)</f>
        <v>41794</v>
      </c>
      <c r="D308" s="18" t="s">
        <v>80</v>
      </c>
      <c r="E308" s="18" t="s">
        <v>75</v>
      </c>
      <c r="F308" s="21">
        <v>324</v>
      </c>
    </row>
    <row r="309" spans="2:6" x14ac:dyDescent="0.25">
      <c r="B309" s="27" t="s">
        <v>18</v>
      </c>
      <c r="C309" s="19">
        <f>40762+(3*365)</f>
        <v>41857</v>
      </c>
      <c r="D309" s="18" t="s">
        <v>71</v>
      </c>
      <c r="E309" s="18" t="s">
        <v>66</v>
      </c>
      <c r="F309" s="21">
        <v>928</v>
      </c>
    </row>
    <row r="310" spans="2:6" x14ac:dyDescent="0.25">
      <c r="B310" s="27" t="s">
        <v>18</v>
      </c>
      <c r="C310" s="19">
        <f>41259+(3*365)</f>
        <v>42354</v>
      </c>
      <c r="D310" s="18" t="s">
        <v>71</v>
      </c>
      <c r="E310" s="18" t="s">
        <v>61</v>
      </c>
      <c r="F310" s="21">
        <v>1161</v>
      </c>
    </row>
    <row r="311" spans="2:6" x14ac:dyDescent="0.25">
      <c r="B311" s="27" t="s">
        <v>11</v>
      </c>
      <c r="C311" s="19">
        <f>40771+(3*365)</f>
        <v>41866</v>
      </c>
      <c r="D311" s="18" t="s">
        <v>74</v>
      </c>
      <c r="E311" s="18" t="s">
        <v>59</v>
      </c>
      <c r="F311" s="21">
        <v>414</v>
      </c>
    </row>
    <row r="312" spans="2:6" x14ac:dyDescent="0.25">
      <c r="B312" s="27" t="s">
        <v>21</v>
      </c>
      <c r="C312" s="19">
        <f>40725+(3*365)</f>
        <v>41820</v>
      </c>
      <c r="D312" s="18" t="s">
        <v>73</v>
      </c>
      <c r="E312" s="18" t="s">
        <v>61</v>
      </c>
      <c r="F312" s="21">
        <v>567</v>
      </c>
    </row>
    <row r="313" spans="2:6" x14ac:dyDescent="0.25">
      <c r="B313" s="27" t="s">
        <v>31</v>
      </c>
      <c r="C313" s="19">
        <f>40710+(3*365)</f>
        <v>41805</v>
      </c>
      <c r="D313" s="18" t="s">
        <v>70</v>
      </c>
      <c r="E313" s="18" t="s">
        <v>61</v>
      </c>
      <c r="F313" s="21">
        <v>765</v>
      </c>
    </row>
    <row r="314" spans="2:6" x14ac:dyDescent="0.25">
      <c r="B314" s="27" t="s">
        <v>31</v>
      </c>
      <c r="C314" s="19">
        <f>40060+(3*365)</f>
        <v>41155</v>
      </c>
      <c r="D314" s="18" t="s">
        <v>70</v>
      </c>
      <c r="E314" s="18" t="s">
        <v>61</v>
      </c>
      <c r="F314" s="21">
        <v>105</v>
      </c>
    </row>
    <row r="315" spans="2:6" x14ac:dyDescent="0.25">
      <c r="B315" s="27" t="s">
        <v>18</v>
      </c>
      <c r="C315" s="19">
        <f>40866+(3*365)</f>
        <v>41961</v>
      </c>
      <c r="D315" s="18" t="s">
        <v>71</v>
      </c>
      <c r="E315" s="18" t="s">
        <v>69</v>
      </c>
      <c r="F315" s="21">
        <v>920</v>
      </c>
    </row>
    <row r="316" spans="2:6" x14ac:dyDescent="0.25">
      <c r="B316" s="27" t="s">
        <v>11</v>
      </c>
      <c r="C316" s="19">
        <f>40964+(3*365)</f>
        <v>42059</v>
      </c>
      <c r="D316" s="18" t="s">
        <v>60</v>
      </c>
      <c r="E316" s="18" t="s">
        <v>66</v>
      </c>
      <c r="F316" s="21">
        <v>300</v>
      </c>
    </row>
    <row r="317" spans="2:6" x14ac:dyDescent="0.25">
      <c r="B317" s="27" t="s">
        <v>18</v>
      </c>
      <c r="C317" s="19">
        <f>40657+(3*365)</f>
        <v>41752</v>
      </c>
      <c r="D317" s="18" t="s">
        <v>68</v>
      </c>
      <c r="E317" s="18" t="s">
        <v>75</v>
      </c>
      <c r="F317" s="21">
        <v>368</v>
      </c>
    </row>
    <row r="318" spans="2:6" x14ac:dyDescent="0.25">
      <c r="B318" s="27" t="s">
        <v>10</v>
      </c>
      <c r="C318" s="19">
        <f>40174+(3*365)</f>
        <v>41269</v>
      </c>
      <c r="D318" s="18" t="s">
        <v>67</v>
      </c>
      <c r="E318" s="18" t="s">
        <v>61</v>
      </c>
      <c r="F318" s="21">
        <v>896</v>
      </c>
    </row>
    <row r="319" spans="2:6" x14ac:dyDescent="0.25">
      <c r="B319" s="27" t="s">
        <v>10</v>
      </c>
      <c r="C319" s="19">
        <f>40607+(3*365)</f>
        <v>41702</v>
      </c>
      <c r="D319" s="18" t="s">
        <v>67</v>
      </c>
      <c r="E319" s="18" t="s">
        <v>69</v>
      </c>
      <c r="F319" s="21">
        <v>1022</v>
      </c>
    </row>
    <row r="320" spans="2:6" x14ac:dyDescent="0.25">
      <c r="B320" s="27" t="s">
        <v>9</v>
      </c>
      <c r="C320" s="19">
        <f>39875+(3*365)</f>
        <v>40970</v>
      </c>
      <c r="D320" s="18" t="s">
        <v>62</v>
      </c>
      <c r="E320" s="18" t="s">
        <v>69</v>
      </c>
      <c r="F320" s="21">
        <v>1740</v>
      </c>
    </row>
    <row r="321" spans="2:6" x14ac:dyDescent="0.25">
      <c r="B321" s="27" t="s">
        <v>9</v>
      </c>
      <c r="C321" s="19">
        <f>41167+(3*365)</f>
        <v>42262</v>
      </c>
      <c r="D321" s="18" t="s">
        <v>80</v>
      </c>
      <c r="E321" s="18" t="s">
        <v>69</v>
      </c>
      <c r="F321" s="21">
        <v>1254</v>
      </c>
    </row>
    <row r="322" spans="2:6" x14ac:dyDescent="0.25">
      <c r="B322" s="27" t="s">
        <v>9</v>
      </c>
      <c r="C322" s="19">
        <f>41096+(3*365)</f>
        <v>42191</v>
      </c>
      <c r="D322" s="18" t="s">
        <v>62</v>
      </c>
      <c r="E322" s="18" t="s">
        <v>69</v>
      </c>
      <c r="F322" s="21">
        <v>126</v>
      </c>
    </row>
    <row r="323" spans="2:6" x14ac:dyDescent="0.25">
      <c r="B323" s="27" t="s">
        <v>11</v>
      </c>
      <c r="C323" s="19">
        <f>40300+(3*365)</f>
        <v>41395</v>
      </c>
      <c r="D323" s="18" t="s">
        <v>74</v>
      </c>
      <c r="E323" s="18" t="s">
        <v>59</v>
      </c>
      <c r="F323" s="21">
        <v>78</v>
      </c>
    </row>
    <row r="324" spans="2:6" x14ac:dyDescent="0.25">
      <c r="B324" s="27" t="s">
        <v>18</v>
      </c>
      <c r="C324" s="19">
        <f>41214+(3*365)</f>
        <v>42309</v>
      </c>
      <c r="D324" s="18" t="s">
        <v>71</v>
      </c>
      <c r="E324" s="18" t="s">
        <v>63</v>
      </c>
      <c r="F324" s="21">
        <v>150</v>
      </c>
    </row>
    <row r="325" spans="2:6" x14ac:dyDescent="0.25">
      <c r="B325" s="27" t="s">
        <v>18</v>
      </c>
      <c r="C325" s="19">
        <f>41174+(3*365)</f>
        <v>42269</v>
      </c>
      <c r="D325" s="18" t="s">
        <v>71</v>
      </c>
      <c r="E325" s="18" t="s">
        <v>66</v>
      </c>
      <c r="F325" s="21">
        <v>366</v>
      </c>
    </row>
    <row r="326" spans="2:6" x14ac:dyDescent="0.25">
      <c r="B326" s="27" t="s">
        <v>18</v>
      </c>
      <c r="C326" s="19">
        <f>40662+(3*365)</f>
        <v>41757</v>
      </c>
      <c r="D326" s="18" t="s">
        <v>71</v>
      </c>
      <c r="E326" s="18" t="s">
        <v>61</v>
      </c>
      <c r="F326" s="21">
        <v>528</v>
      </c>
    </row>
    <row r="327" spans="2:6" x14ac:dyDescent="0.25">
      <c r="B327" s="27" t="s">
        <v>10</v>
      </c>
      <c r="C327" s="19">
        <f>40004+(3*365)</f>
        <v>41099</v>
      </c>
      <c r="D327" s="18" t="s">
        <v>67</v>
      </c>
      <c r="E327" s="18" t="s">
        <v>64</v>
      </c>
      <c r="F327" s="21">
        <v>8260</v>
      </c>
    </row>
    <row r="328" spans="2:6" x14ac:dyDescent="0.25">
      <c r="B328" s="27" t="s">
        <v>21</v>
      </c>
      <c r="C328" s="19">
        <f>40767+(3*365)</f>
        <v>41862</v>
      </c>
      <c r="D328" s="18" t="s">
        <v>58</v>
      </c>
      <c r="E328" s="18" t="s">
        <v>63</v>
      </c>
      <c r="F328" s="21">
        <v>189</v>
      </c>
    </row>
    <row r="329" spans="2:6" x14ac:dyDescent="0.25">
      <c r="B329" s="27" t="s">
        <v>11</v>
      </c>
      <c r="C329" s="19">
        <f>40911+(3*365)</f>
        <v>42006</v>
      </c>
      <c r="D329" s="18" t="s">
        <v>74</v>
      </c>
      <c r="E329" s="18" t="s">
        <v>63</v>
      </c>
      <c r="F329" s="21">
        <v>1408</v>
      </c>
    </row>
    <row r="330" spans="2:6" x14ac:dyDescent="0.25">
      <c r="B330" s="27" t="s">
        <v>8</v>
      </c>
      <c r="C330" s="19">
        <f>40409+(3*365)</f>
        <v>41504</v>
      </c>
      <c r="D330" s="18" t="s">
        <v>77</v>
      </c>
      <c r="E330" s="18" t="s">
        <v>72</v>
      </c>
      <c r="F330" s="21">
        <v>1800</v>
      </c>
    </row>
    <row r="331" spans="2:6" x14ac:dyDescent="0.25">
      <c r="B331" s="27" t="s">
        <v>18</v>
      </c>
      <c r="C331" s="19">
        <f>39843+(3*365)</f>
        <v>40938</v>
      </c>
      <c r="D331" s="18" t="s">
        <v>68</v>
      </c>
      <c r="E331" s="18" t="s">
        <v>59</v>
      </c>
      <c r="F331" s="21">
        <v>64</v>
      </c>
    </row>
    <row r="332" spans="2:6" x14ac:dyDescent="0.25">
      <c r="B332" s="27" t="s">
        <v>11</v>
      </c>
      <c r="C332" s="19">
        <f>40696+(3*365)</f>
        <v>41791</v>
      </c>
      <c r="D332" s="18" t="s">
        <v>60</v>
      </c>
      <c r="E332" s="18" t="s">
        <v>63</v>
      </c>
      <c r="F332" s="21">
        <v>882</v>
      </c>
    </row>
    <row r="333" spans="2:6" x14ac:dyDescent="0.25">
      <c r="B333" s="27" t="s">
        <v>9</v>
      </c>
      <c r="C333" s="19">
        <f>41060+(3*365)</f>
        <v>42155</v>
      </c>
      <c r="D333" s="18" t="s">
        <v>62</v>
      </c>
      <c r="E333" s="18" t="s">
        <v>59</v>
      </c>
      <c r="F333" s="21">
        <v>135</v>
      </c>
    </row>
    <row r="334" spans="2:6" x14ac:dyDescent="0.25">
      <c r="B334" s="27" t="s">
        <v>25</v>
      </c>
      <c r="C334" s="19">
        <f>41244+(3*365)</f>
        <v>42339</v>
      </c>
      <c r="D334" s="18" t="s">
        <v>78</v>
      </c>
      <c r="E334" s="18" t="s">
        <v>66</v>
      </c>
      <c r="F334" s="21">
        <v>672</v>
      </c>
    </row>
    <row r="335" spans="2:6" x14ac:dyDescent="0.25">
      <c r="B335" s="27" t="s">
        <v>18</v>
      </c>
      <c r="C335" s="19">
        <f>40983+(3*365)</f>
        <v>42078</v>
      </c>
      <c r="D335" s="18" t="s">
        <v>68</v>
      </c>
      <c r="E335" s="18" t="s">
        <v>63</v>
      </c>
      <c r="F335" s="21">
        <v>621</v>
      </c>
    </row>
    <row r="336" spans="2:6" x14ac:dyDescent="0.25">
      <c r="B336" s="27" t="s">
        <v>21</v>
      </c>
      <c r="C336" s="19">
        <f>39920+(3*365)</f>
        <v>41015</v>
      </c>
      <c r="D336" s="18" t="s">
        <v>58</v>
      </c>
      <c r="E336" s="18" t="s">
        <v>63</v>
      </c>
      <c r="F336" s="21">
        <v>140</v>
      </c>
    </row>
    <row r="337" spans="2:6" x14ac:dyDescent="0.25">
      <c r="B337" s="27" t="s">
        <v>18</v>
      </c>
      <c r="C337" s="19">
        <f>41235+(3*365)</f>
        <v>42330</v>
      </c>
      <c r="D337" s="18" t="s">
        <v>68</v>
      </c>
      <c r="E337" s="18" t="s">
        <v>75</v>
      </c>
      <c r="F337" s="21">
        <v>462</v>
      </c>
    </row>
    <row r="338" spans="2:6" x14ac:dyDescent="0.25">
      <c r="B338" s="27" t="s">
        <v>25</v>
      </c>
      <c r="C338" s="19">
        <f>40664+(3*365)</f>
        <v>41759</v>
      </c>
      <c r="D338" s="18" t="s">
        <v>79</v>
      </c>
      <c r="E338" s="18" t="s">
        <v>75</v>
      </c>
      <c r="F338" s="21">
        <v>792</v>
      </c>
    </row>
    <row r="339" spans="2:6" x14ac:dyDescent="0.25">
      <c r="B339" s="27" t="s">
        <v>25</v>
      </c>
      <c r="C339" s="19">
        <f>40756+(3*365)</f>
        <v>41851</v>
      </c>
      <c r="D339" s="18" t="s">
        <v>79</v>
      </c>
      <c r="E339" s="18" t="s">
        <v>64</v>
      </c>
      <c r="F339" s="21">
        <v>8780</v>
      </c>
    </row>
    <row r="340" spans="2:6" x14ac:dyDescent="0.25">
      <c r="B340" s="27" t="s">
        <v>10</v>
      </c>
      <c r="C340" s="19">
        <f>40906+(3*365)</f>
        <v>42001</v>
      </c>
      <c r="D340" s="18" t="s">
        <v>65</v>
      </c>
      <c r="E340" s="18" t="s">
        <v>63</v>
      </c>
      <c r="F340" s="21">
        <v>164</v>
      </c>
    </row>
    <row r="341" spans="2:6" x14ac:dyDescent="0.25">
      <c r="B341" s="27" t="s">
        <v>9</v>
      </c>
      <c r="C341" s="19">
        <f>40067+(3*365)</f>
        <v>41162</v>
      </c>
      <c r="D341" s="18" t="s">
        <v>80</v>
      </c>
      <c r="E341" s="18" t="s">
        <v>59</v>
      </c>
      <c r="F341" s="21">
        <v>72</v>
      </c>
    </row>
    <row r="342" spans="2:6" x14ac:dyDescent="0.25">
      <c r="B342" s="27" t="s">
        <v>8</v>
      </c>
      <c r="C342" s="19">
        <f>40519+(3*365)</f>
        <v>41614</v>
      </c>
      <c r="D342" s="18" t="s">
        <v>77</v>
      </c>
      <c r="E342" s="18" t="s">
        <v>61</v>
      </c>
      <c r="F342" s="21">
        <v>256</v>
      </c>
    </row>
    <row r="343" spans="2:6" x14ac:dyDescent="0.25">
      <c r="B343" s="27" t="s">
        <v>25</v>
      </c>
      <c r="C343" s="19">
        <f>40238+(3*365)</f>
        <v>41333</v>
      </c>
      <c r="D343" s="18" t="s">
        <v>79</v>
      </c>
      <c r="E343" s="18" t="s">
        <v>61</v>
      </c>
      <c r="F343" s="21">
        <v>486</v>
      </c>
    </row>
    <row r="344" spans="2:6" x14ac:dyDescent="0.25">
      <c r="B344" s="27" t="s">
        <v>8</v>
      </c>
      <c r="C344" s="19">
        <f>40459+(3*365)</f>
        <v>41554</v>
      </c>
      <c r="D344" s="18" t="s">
        <v>77</v>
      </c>
      <c r="E344" s="18" t="s">
        <v>75</v>
      </c>
      <c r="F344" s="21">
        <v>1184</v>
      </c>
    </row>
    <row r="345" spans="2:6" x14ac:dyDescent="0.25">
      <c r="B345" s="27" t="s">
        <v>11</v>
      </c>
      <c r="C345" s="19">
        <f>40090+(3*365)</f>
        <v>41185</v>
      </c>
      <c r="D345" s="18" t="s">
        <v>60</v>
      </c>
      <c r="E345" s="18" t="s">
        <v>59</v>
      </c>
      <c r="F345" s="21">
        <v>108</v>
      </c>
    </row>
    <row r="346" spans="2:6" x14ac:dyDescent="0.25">
      <c r="B346" s="27" t="s">
        <v>10</v>
      </c>
      <c r="C346" s="19">
        <f>39992+(3*365)</f>
        <v>41087</v>
      </c>
      <c r="D346" s="18" t="s">
        <v>65</v>
      </c>
      <c r="E346" s="18" t="s">
        <v>69</v>
      </c>
      <c r="F346" s="21">
        <v>628</v>
      </c>
    </row>
    <row r="347" spans="2:6" x14ac:dyDescent="0.25">
      <c r="B347" s="27" t="s">
        <v>18</v>
      </c>
      <c r="C347" s="19">
        <f>40934+(3*365)</f>
        <v>42029</v>
      </c>
      <c r="D347" s="18" t="s">
        <v>68</v>
      </c>
      <c r="E347" s="18" t="s">
        <v>75</v>
      </c>
      <c r="F347" s="21">
        <v>576</v>
      </c>
    </row>
    <row r="348" spans="2:6" x14ac:dyDescent="0.25">
      <c r="B348" s="27" t="s">
        <v>31</v>
      </c>
      <c r="C348" s="19">
        <f>40157+(3*365)</f>
        <v>41252</v>
      </c>
      <c r="D348" s="18" t="s">
        <v>76</v>
      </c>
      <c r="E348" s="18" t="s">
        <v>61</v>
      </c>
      <c r="F348" s="21">
        <v>456</v>
      </c>
    </row>
    <row r="349" spans="2:6" x14ac:dyDescent="0.25">
      <c r="B349" s="27" t="s">
        <v>9</v>
      </c>
      <c r="C349" s="19">
        <f>39906+(3*365)</f>
        <v>41001</v>
      </c>
      <c r="D349" s="18" t="s">
        <v>80</v>
      </c>
      <c r="E349" s="18" t="s">
        <v>69</v>
      </c>
      <c r="F349" s="21">
        <v>588</v>
      </c>
    </row>
    <row r="350" spans="2:6" x14ac:dyDescent="0.25">
      <c r="B350" s="27" t="s">
        <v>11</v>
      </c>
      <c r="C350" s="19">
        <f>40294+(3*365)</f>
        <v>41389</v>
      </c>
      <c r="D350" s="18" t="s">
        <v>74</v>
      </c>
      <c r="E350" s="18" t="s">
        <v>72</v>
      </c>
      <c r="F350" s="21">
        <v>5724</v>
      </c>
    </row>
    <row r="351" spans="2:6" x14ac:dyDescent="0.25">
      <c r="B351" s="27" t="s">
        <v>9</v>
      </c>
      <c r="C351" s="19">
        <f>40052+(3*365)</f>
        <v>41147</v>
      </c>
      <c r="D351" s="18" t="s">
        <v>80</v>
      </c>
      <c r="E351" s="18" t="s">
        <v>64</v>
      </c>
      <c r="F351" s="21">
        <v>7020</v>
      </c>
    </row>
    <row r="352" spans="2:6" x14ac:dyDescent="0.25">
      <c r="B352" s="27" t="s">
        <v>25</v>
      </c>
      <c r="C352" s="19">
        <f>40925+(3*365)</f>
        <v>42020</v>
      </c>
      <c r="D352" s="18" t="s">
        <v>78</v>
      </c>
      <c r="E352" s="18" t="s">
        <v>64</v>
      </c>
      <c r="F352" s="21">
        <v>6048</v>
      </c>
    </row>
    <row r="353" spans="2:6" x14ac:dyDescent="0.25">
      <c r="B353" s="27" t="s">
        <v>8</v>
      </c>
      <c r="C353" s="19">
        <f>40031+(3*365)</f>
        <v>41126</v>
      </c>
      <c r="D353" s="18" t="s">
        <v>77</v>
      </c>
      <c r="E353" s="18" t="s">
        <v>75</v>
      </c>
      <c r="F353" s="21">
        <v>675</v>
      </c>
    </row>
    <row r="354" spans="2:6" x14ac:dyDescent="0.25">
      <c r="B354" s="27" t="s">
        <v>18</v>
      </c>
      <c r="C354" s="19">
        <f>40778+(3*365)</f>
        <v>41873</v>
      </c>
      <c r="D354" s="18" t="s">
        <v>71</v>
      </c>
      <c r="E354" s="18" t="s">
        <v>61</v>
      </c>
      <c r="F354" s="21">
        <v>504</v>
      </c>
    </row>
    <row r="355" spans="2:6" x14ac:dyDescent="0.25">
      <c r="B355" s="27" t="s">
        <v>11</v>
      </c>
      <c r="C355" s="19">
        <f>40672+(3*365)</f>
        <v>41767</v>
      </c>
      <c r="D355" s="18" t="s">
        <v>60</v>
      </c>
      <c r="E355" s="18" t="s">
        <v>66</v>
      </c>
      <c r="F355" s="21">
        <v>924</v>
      </c>
    </row>
    <row r="356" spans="2:6" x14ac:dyDescent="0.25">
      <c r="B356" s="27" t="s">
        <v>11</v>
      </c>
      <c r="C356" s="19">
        <f>41243+(3*365)</f>
        <v>42338</v>
      </c>
      <c r="D356" s="18" t="s">
        <v>60</v>
      </c>
      <c r="E356" s="18" t="s">
        <v>72</v>
      </c>
      <c r="F356" s="21">
        <v>5180</v>
      </c>
    </row>
    <row r="357" spans="2:6" x14ac:dyDescent="0.25">
      <c r="B357" s="27" t="s">
        <v>21</v>
      </c>
      <c r="C357" s="19">
        <f>40386+(3*365)</f>
        <v>41481</v>
      </c>
      <c r="D357" s="18" t="s">
        <v>73</v>
      </c>
      <c r="E357" s="18" t="s">
        <v>66</v>
      </c>
      <c r="F357" s="21">
        <v>448</v>
      </c>
    </row>
    <row r="358" spans="2:6" x14ac:dyDescent="0.25">
      <c r="B358" s="27" t="s">
        <v>25</v>
      </c>
      <c r="C358" s="19">
        <f>40793+(3*365)</f>
        <v>41888</v>
      </c>
      <c r="D358" s="18" t="s">
        <v>79</v>
      </c>
      <c r="E358" s="18" t="s">
        <v>72</v>
      </c>
      <c r="F358" s="21">
        <v>4392</v>
      </c>
    </row>
    <row r="359" spans="2:6" x14ac:dyDescent="0.25">
      <c r="B359" s="27" t="s">
        <v>8</v>
      </c>
      <c r="C359" s="19">
        <f>40885+(3*365)</f>
        <v>41980</v>
      </c>
      <c r="D359" s="18" t="s">
        <v>81</v>
      </c>
      <c r="E359" s="18" t="s">
        <v>69</v>
      </c>
      <c r="F359" s="21">
        <v>3184</v>
      </c>
    </row>
    <row r="360" spans="2:6" x14ac:dyDescent="0.25">
      <c r="B360" s="27" t="s">
        <v>31</v>
      </c>
      <c r="C360" s="19">
        <f>41152+(3*365)</f>
        <v>42247</v>
      </c>
      <c r="D360" s="18" t="s">
        <v>70</v>
      </c>
      <c r="E360" s="18" t="s">
        <v>66</v>
      </c>
      <c r="F360" s="21">
        <v>1824</v>
      </c>
    </row>
    <row r="361" spans="2:6" x14ac:dyDescent="0.25">
      <c r="B361" s="27" t="s">
        <v>21</v>
      </c>
      <c r="C361" s="19">
        <f>40670+(3*365)</f>
        <v>41765</v>
      </c>
      <c r="D361" s="18" t="s">
        <v>73</v>
      </c>
      <c r="E361" s="18" t="s">
        <v>72</v>
      </c>
      <c r="F361" s="21">
        <v>3420</v>
      </c>
    </row>
    <row r="362" spans="2:6" x14ac:dyDescent="0.25">
      <c r="B362" s="27" t="s">
        <v>8</v>
      </c>
      <c r="C362" s="19">
        <f>40082+(3*365)</f>
        <v>41177</v>
      </c>
      <c r="D362" s="18" t="s">
        <v>77</v>
      </c>
      <c r="E362" s="18" t="s">
        <v>69</v>
      </c>
      <c r="F362" s="21">
        <v>579</v>
      </c>
    </row>
    <row r="363" spans="2:6" x14ac:dyDescent="0.25">
      <c r="B363" s="27" t="s">
        <v>31</v>
      </c>
      <c r="C363" s="19">
        <f>41035+(3*365)</f>
        <v>42130</v>
      </c>
      <c r="D363" s="18" t="s">
        <v>70</v>
      </c>
      <c r="E363" s="18" t="s">
        <v>75</v>
      </c>
      <c r="F363" s="21">
        <v>99</v>
      </c>
    </row>
    <row r="364" spans="2:6" x14ac:dyDescent="0.25">
      <c r="B364" s="27" t="s">
        <v>31</v>
      </c>
      <c r="C364" s="19">
        <f>41082+(3*365)</f>
        <v>42177</v>
      </c>
      <c r="D364" s="18" t="s">
        <v>70</v>
      </c>
      <c r="E364" s="18" t="s">
        <v>75</v>
      </c>
      <c r="F364" s="21">
        <v>525</v>
      </c>
    </row>
    <row r="365" spans="2:6" x14ac:dyDescent="0.25">
      <c r="B365" s="27" t="s">
        <v>31</v>
      </c>
      <c r="C365" s="19">
        <f>40104+(3*365)</f>
        <v>41199</v>
      </c>
      <c r="D365" s="18" t="s">
        <v>76</v>
      </c>
      <c r="E365" s="18" t="s">
        <v>64</v>
      </c>
      <c r="F365" s="21">
        <v>9882</v>
      </c>
    </row>
    <row r="366" spans="2:6" x14ac:dyDescent="0.25">
      <c r="B366" s="27" t="s">
        <v>31</v>
      </c>
      <c r="C366" s="19">
        <f>39922+(3*365)</f>
        <v>41017</v>
      </c>
      <c r="D366" s="18" t="s">
        <v>70</v>
      </c>
      <c r="E366" s="18" t="s">
        <v>66</v>
      </c>
      <c r="F366" s="21">
        <v>297</v>
      </c>
    </row>
    <row r="367" spans="2:6" x14ac:dyDescent="0.25">
      <c r="B367" s="27" t="s">
        <v>18</v>
      </c>
      <c r="C367" s="19">
        <f>40498+(3*365)</f>
        <v>41593</v>
      </c>
      <c r="D367" s="18" t="s">
        <v>68</v>
      </c>
      <c r="E367" s="18" t="s">
        <v>61</v>
      </c>
      <c r="F367" s="21">
        <v>423</v>
      </c>
    </row>
    <row r="368" spans="2:6" x14ac:dyDescent="0.25">
      <c r="B368" s="27" t="s">
        <v>10</v>
      </c>
      <c r="C368" s="19">
        <f>41132+(3*365)</f>
        <v>42227</v>
      </c>
      <c r="D368" s="18" t="s">
        <v>67</v>
      </c>
      <c r="E368" s="18" t="s">
        <v>69</v>
      </c>
      <c r="F368" s="21">
        <v>1488</v>
      </c>
    </row>
    <row r="369" spans="2:6" x14ac:dyDescent="0.25">
      <c r="B369" s="27" t="s">
        <v>25</v>
      </c>
      <c r="C369" s="19">
        <f>40857+(3*365)</f>
        <v>41952</v>
      </c>
      <c r="D369" s="18" t="s">
        <v>78</v>
      </c>
      <c r="E369" s="18" t="s">
        <v>69</v>
      </c>
      <c r="F369" s="21">
        <v>4128</v>
      </c>
    </row>
    <row r="370" spans="2:6" x14ac:dyDescent="0.25">
      <c r="B370" s="27" t="s">
        <v>10</v>
      </c>
      <c r="C370" s="19">
        <f>40757+(3*365)</f>
        <v>41852</v>
      </c>
      <c r="D370" s="18" t="s">
        <v>67</v>
      </c>
      <c r="E370" s="18" t="s">
        <v>66</v>
      </c>
      <c r="F370" s="21">
        <v>804</v>
      </c>
    </row>
    <row r="371" spans="2:6" x14ac:dyDescent="0.25">
      <c r="B371" s="27" t="s">
        <v>31</v>
      </c>
      <c r="C371" s="19">
        <f>40156+(3*365)</f>
        <v>41251</v>
      </c>
      <c r="D371" s="18" t="s">
        <v>76</v>
      </c>
      <c r="E371" s="18" t="s">
        <v>63</v>
      </c>
      <c r="F371" s="21">
        <v>228</v>
      </c>
    </row>
    <row r="372" spans="2:6" x14ac:dyDescent="0.25">
      <c r="B372" s="27" t="s">
        <v>8</v>
      </c>
      <c r="C372" s="19">
        <f>41067+(3*365)</f>
        <v>42162</v>
      </c>
      <c r="D372" s="18" t="s">
        <v>81</v>
      </c>
      <c r="E372" s="18" t="s">
        <v>63</v>
      </c>
      <c r="F372" s="21">
        <v>1980</v>
      </c>
    </row>
    <row r="373" spans="2:6" x14ac:dyDescent="0.25">
      <c r="B373" s="27" t="s">
        <v>21</v>
      </c>
      <c r="C373" s="19">
        <f>40029+(3*365)</f>
        <v>41124</v>
      </c>
      <c r="D373" s="18" t="s">
        <v>58</v>
      </c>
      <c r="E373" s="18" t="s">
        <v>63</v>
      </c>
      <c r="F373" s="21">
        <v>315</v>
      </c>
    </row>
    <row r="374" spans="2:6" x14ac:dyDescent="0.25">
      <c r="B374" s="27" t="s">
        <v>8</v>
      </c>
      <c r="C374" s="19">
        <f>40083+(3*365)</f>
        <v>41178</v>
      </c>
      <c r="D374" s="18" t="s">
        <v>77</v>
      </c>
      <c r="E374" s="18" t="s">
        <v>61</v>
      </c>
      <c r="F374" s="21">
        <v>675</v>
      </c>
    </row>
    <row r="375" spans="2:6" x14ac:dyDescent="0.25">
      <c r="B375" s="27" t="s">
        <v>9</v>
      </c>
      <c r="C375" s="19">
        <f>40010+(3*365)</f>
        <v>41105</v>
      </c>
      <c r="D375" s="18" t="s">
        <v>80</v>
      </c>
      <c r="E375" s="18" t="s">
        <v>63</v>
      </c>
      <c r="F375" s="21">
        <v>276</v>
      </c>
    </row>
    <row r="376" spans="2:6" x14ac:dyDescent="0.25">
      <c r="B376" s="27" t="s">
        <v>31</v>
      </c>
      <c r="C376" s="19">
        <f>40953+(3*365)</f>
        <v>42048</v>
      </c>
      <c r="D376" s="18" t="s">
        <v>70</v>
      </c>
      <c r="E376" s="18" t="s">
        <v>61</v>
      </c>
      <c r="F376" s="21">
        <v>675</v>
      </c>
    </row>
    <row r="377" spans="2:6" x14ac:dyDescent="0.25">
      <c r="B377" s="27" t="s">
        <v>21</v>
      </c>
      <c r="C377" s="19">
        <f>40745+(3*365)</f>
        <v>41840</v>
      </c>
      <c r="D377" s="18" t="s">
        <v>73</v>
      </c>
      <c r="E377" s="18" t="s">
        <v>64</v>
      </c>
      <c r="F377" s="21">
        <v>16338</v>
      </c>
    </row>
    <row r="378" spans="2:6" x14ac:dyDescent="0.25">
      <c r="B378" s="27" t="s">
        <v>11</v>
      </c>
      <c r="C378" s="19">
        <f>40328+(3*365)</f>
        <v>41423</v>
      </c>
      <c r="D378" s="18" t="s">
        <v>74</v>
      </c>
      <c r="E378" s="18" t="s">
        <v>59</v>
      </c>
      <c r="F378" s="21">
        <v>228</v>
      </c>
    </row>
    <row r="379" spans="2:6" x14ac:dyDescent="0.25">
      <c r="B379" s="27" t="s">
        <v>8</v>
      </c>
      <c r="C379" s="19">
        <f>40130+(3*365)</f>
        <v>41225</v>
      </c>
      <c r="D379" s="18" t="s">
        <v>81</v>
      </c>
      <c r="E379" s="18" t="s">
        <v>72</v>
      </c>
      <c r="F379" s="21">
        <v>3315</v>
      </c>
    </row>
    <row r="380" spans="2:6" x14ac:dyDescent="0.25">
      <c r="B380" s="27" t="s">
        <v>31</v>
      </c>
      <c r="C380" s="19">
        <f>40285+(3*365)</f>
        <v>41380</v>
      </c>
      <c r="D380" s="18" t="s">
        <v>70</v>
      </c>
      <c r="E380" s="18" t="s">
        <v>59</v>
      </c>
      <c r="F380" s="21">
        <v>594</v>
      </c>
    </row>
    <row r="381" spans="2:6" x14ac:dyDescent="0.25">
      <c r="B381" s="27" t="s">
        <v>10</v>
      </c>
      <c r="C381" s="19">
        <f>40097+(3*365)</f>
        <v>41192</v>
      </c>
      <c r="D381" s="18" t="s">
        <v>65</v>
      </c>
      <c r="E381" s="18" t="s">
        <v>64</v>
      </c>
      <c r="F381" s="21">
        <v>23580</v>
      </c>
    </row>
    <row r="382" spans="2:6" x14ac:dyDescent="0.25">
      <c r="B382" s="27" t="s">
        <v>10</v>
      </c>
      <c r="C382" s="19">
        <f>40678+(3*365)</f>
        <v>41773</v>
      </c>
      <c r="D382" s="18" t="s">
        <v>65</v>
      </c>
      <c r="E382" s="18" t="s">
        <v>64</v>
      </c>
      <c r="F382" s="21">
        <v>3720</v>
      </c>
    </row>
    <row r="383" spans="2:6" x14ac:dyDescent="0.25">
      <c r="B383" s="27" t="s">
        <v>25</v>
      </c>
      <c r="C383" s="19">
        <f>40631+(3*365)</f>
        <v>41726</v>
      </c>
      <c r="D383" s="18" t="s">
        <v>79</v>
      </c>
      <c r="E383" s="18" t="s">
        <v>61</v>
      </c>
      <c r="F383" s="21">
        <v>960</v>
      </c>
    </row>
    <row r="384" spans="2:6" x14ac:dyDescent="0.25">
      <c r="B384" s="27" t="s">
        <v>9</v>
      </c>
      <c r="C384" s="19">
        <f>40105+(3*365)</f>
        <v>41200</v>
      </c>
      <c r="D384" s="18" t="s">
        <v>80</v>
      </c>
      <c r="E384" s="18" t="s">
        <v>72</v>
      </c>
      <c r="F384" s="21">
        <v>2010</v>
      </c>
    </row>
    <row r="385" spans="2:6" x14ac:dyDescent="0.25">
      <c r="B385" s="27" t="s">
        <v>10</v>
      </c>
      <c r="C385" s="19">
        <f>41201+(3*365)</f>
        <v>42296</v>
      </c>
      <c r="D385" s="18" t="s">
        <v>65</v>
      </c>
      <c r="E385" s="18" t="s">
        <v>64</v>
      </c>
      <c r="F385" s="21">
        <v>6444</v>
      </c>
    </row>
    <row r="386" spans="2:6" x14ac:dyDescent="0.25">
      <c r="B386" s="27" t="s">
        <v>9</v>
      </c>
      <c r="C386" s="19">
        <f>40977+(3*365)</f>
        <v>42072</v>
      </c>
      <c r="D386" s="18" t="s">
        <v>62</v>
      </c>
      <c r="E386" s="18" t="s">
        <v>61</v>
      </c>
      <c r="F386" s="21">
        <v>147</v>
      </c>
    </row>
    <row r="387" spans="2:6" x14ac:dyDescent="0.25">
      <c r="B387" s="27" t="s">
        <v>25</v>
      </c>
      <c r="C387" s="19">
        <f>39944+(3*365)</f>
        <v>41039</v>
      </c>
      <c r="D387" s="18" t="s">
        <v>79</v>
      </c>
      <c r="E387" s="18" t="s">
        <v>63</v>
      </c>
      <c r="F387" s="21">
        <v>130</v>
      </c>
    </row>
    <row r="388" spans="2:6" x14ac:dyDescent="0.25">
      <c r="B388" s="27" t="s">
        <v>10</v>
      </c>
      <c r="C388" s="19">
        <f>40267+(3*365)</f>
        <v>41362</v>
      </c>
      <c r="D388" s="18" t="s">
        <v>65</v>
      </c>
      <c r="E388" s="18" t="s">
        <v>63</v>
      </c>
      <c r="F388" s="21">
        <v>1050</v>
      </c>
    </row>
    <row r="389" spans="2:6" x14ac:dyDescent="0.25">
      <c r="B389" s="27" t="s">
        <v>11</v>
      </c>
      <c r="C389" s="19">
        <f>40100+(3*365)</f>
        <v>41195</v>
      </c>
      <c r="D389" s="18" t="s">
        <v>60</v>
      </c>
      <c r="E389" s="18" t="s">
        <v>72</v>
      </c>
      <c r="F389" s="21">
        <v>2688</v>
      </c>
    </row>
    <row r="390" spans="2:6" x14ac:dyDescent="0.25">
      <c r="B390" s="27" t="s">
        <v>21</v>
      </c>
      <c r="C390" s="19">
        <f>40474+(3*365)</f>
        <v>41569</v>
      </c>
      <c r="D390" s="18" t="s">
        <v>73</v>
      </c>
      <c r="E390" s="18" t="s">
        <v>59</v>
      </c>
      <c r="F390" s="21">
        <v>200</v>
      </c>
    </row>
    <row r="391" spans="2:6" x14ac:dyDescent="0.25">
      <c r="B391" s="27" t="s">
        <v>18</v>
      </c>
      <c r="C391" s="19">
        <f>40073+(3*365)</f>
        <v>41168</v>
      </c>
      <c r="D391" s="18" t="s">
        <v>68</v>
      </c>
      <c r="E391" s="18" t="s">
        <v>75</v>
      </c>
      <c r="F391" s="21">
        <v>270</v>
      </c>
    </row>
    <row r="392" spans="2:6" x14ac:dyDescent="0.25">
      <c r="B392" s="27" t="s">
        <v>11</v>
      </c>
      <c r="C392" s="19">
        <f>40689+(3*365)</f>
        <v>41784</v>
      </c>
      <c r="D392" s="18" t="s">
        <v>74</v>
      </c>
      <c r="E392" s="18" t="s">
        <v>63</v>
      </c>
      <c r="F392" s="21">
        <v>540</v>
      </c>
    </row>
    <row r="393" spans="2:6" x14ac:dyDescent="0.25">
      <c r="B393" s="27" t="s">
        <v>9</v>
      </c>
      <c r="C393" s="19">
        <f>40118+(3*365)</f>
        <v>41213</v>
      </c>
      <c r="D393" s="18" t="s">
        <v>80</v>
      </c>
      <c r="E393" s="18" t="s">
        <v>66</v>
      </c>
      <c r="F393" s="21">
        <v>300</v>
      </c>
    </row>
    <row r="394" spans="2:6" x14ac:dyDescent="0.25">
      <c r="B394" s="27" t="s">
        <v>8</v>
      </c>
      <c r="C394" s="19">
        <f>40525+(3*365)</f>
        <v>41620</v>
      </c>
      <c r="D394" s="18" t="s">
        <v>77</v>
      </c>
      <c r="E394" s="18" t="s">
        <v>66</v>
      </c>
      <c r="F394" s="21">
        <v>744</v>
      </c>
    </row>
    <row r="395" spans="2:6" x14ac:dyDescent="0.25">
      <c r="B395" s="27" t="s">
        <v>8</v>
      </c>
      <c r="C395" s="19">
        <f>40685+(3*365)</f>
        <v>41780</v>
      </c>
      <c r="D395" s="18" t="s">
        <v>77</v>
      </c>
      <c r="E395" s="18" t="s">
        <v>66</v>
      </c>
      <c r="F395" s="21">
        <v>328</v>
      </c>
    </row>
    <row r="396" spans="2:6" x14ac:dyDescent="0.25">
      <c r="B396" s="27" t="s">
        <v>21</v>
      </c>
      <c r="C396" s="19">
        <f>41056+(3*365)</f>
        <v>42151</v>
      </c>
      <c r="D396" s="18" t="s">
        <v>73</v>
      </c>
      <c r="E396" s="18" t="s">
        <v>69</v>
      </c>
      <c r="F396" s="21">
        <v>1224</v>
      </c>
    </row>
    <row r="397" spans="2:6" x14ac:dyDescent="0.25">
      <c r="B397" s="27" t="s">
        <v>11</v>
      </c>
      <c r="C397" s="19">
        <f>40638+(3*365)</f>
        <v>41733</v>
      </c>
      <c r="D397" s="18" t="s">
        <v>60</v>
      </c>
      <c r="E397" s="18" t="s">
        <v>59</v>
      </c>
      <c r="F397" s="21">
        <v>756</v>
      </c>
    </row>
    <row r="398" spans="2:6" x14ac:dyDescent="0.25">
      <c r="B398" s="27" t="s">
        <v>8</v>
      </c>
      <c r="C398" s="19">
        <f>40941+(3*365)</f>
        <v>42036</v>
      </c>
      <c r="D398" s="18" t="s">
        <v>81</v>
      </c>
      <c r="E398" s="18" t="s">
        <v>61</v>
      </c>
      <c r="F398" s="21">
        <v>880</v>
      </c>
    </row>
    <row r="399" spans="2:6" x14ac:dyDescent="0.25">
      <c r="B399" s="27" t="s">
        <v>18</v>
      </c>
      <c r="C399" s="19">
        <f>40099+(3*365)</f>
        <v>41194</v>
      </c>
      <c r="D399" s="18" t="s">
        <v>71</v>
      </c>
      <c r="E399" s="18" t="s">
        <v>61</v>
      </c>
      <c r="F399" s="21">
        <v>320</v>
      </c>
    </row>
    <row r="400" spans="2:6" x14ac:dyDescent="0.25">
      <c r="B400" s="27" t="s">
        <v>8</v>
      </c>
      <c r="C400" s="19">
        <f>39868+(3*365)</f>
        <v>40963</v>
      </c>
      <c r="D400" s="18" t="s">
        <v>81</v>
      </c>
      <c r="E400" s="18" t="s">
        <v>69</v>
      </c>
      <c r="F400" s="21">
        <v>2052</v>
      </c>
    </row>
    <row r="401" spans="2:6" x14ac:dyDescent="0.25">
      <c r="B401" s="27" t="s">
        <v>31</v>
      </c>
      <c r="C401" s="19">
        <f>41126+(3*365)</f>
        <v>42221</v>
      </c>
      <c r="D401" s="18" t="s">
        <v>76</v>
      </c>
      <c r="E401" s="18" t="s">
        <v>66</v>
      </c>
      <c r="F401" s="21">
        <v>744</v>
      </c>
    </row>
    <row r="402" spans="2:6" x14ac:dyDescent="0.25">
      <c r="B402" s="27" t="s">
        <v>9</v>
      </c>
      <c r="C402" s="19">
        <f>40690+(3*365)</f>
        <v>41785</v>
      </c>
      <c r="D402" s="18" t="s">
        <v>80</v>
      </c>
      <c r="E402" s="18" t="s">
        <v>63</v>
      </c>
      <c r="F402" s="21">
        <v>864</v>
      </c>
    </row>
    <row r="403" spans="2:6" x14ac:dyDescent="0.25">
      <c r="B403" s="27" t="s">
        <v>11</v>
      </c>
      <c r="C403" s="19">
        <f>40957+(3*365)</f>
        <v>42052</v>
      </c>
      <c r="D403" s="18" t="s">
        <v>74</v>
      </c>
      <c r="E403" s="18" t="s">
        <v>75</v>
      </c>
      <c r="F403" s="21">
        <v>720</v>
      </c>
    </row>
    <row r="404" spans="2:6" x14ac:dyDescent="0.25">
      <c r="B404" s="27" t="s">
        <v>18</v>
      </c>
      <c r="C404" s="19">
        <f>40652+(3*365)</f>
        <v>41747</v>
      </c>
      <c r="D404" s="18" t="s">
        <v>68</v>
      </c>
      <c r="E404" s="18" t="s">
        <v>69</v>
      </c>
      <c r="F404" s="21">
        <v>1152</v>
      </c>
    </row>
    <row r="405" spans="2:6" x14ac:dyDescent="0.25">
      <c r="B405" s="27" t="s">
        <v>10</v>
      </c>
      <c r="C405" s="19">
        <f>39930+(3*365)</f>
        <v>41025</v>
      </c>
      <c r="D405" s="18" t="s">
        <v>65</v>
      </c>
      <c r="E405" s="18" t="s">
        <v>63</v>
      </c>
      <c r="F405" s="21">
        <v>248</v>
      </c>
    </row>
    <row r="406" spans="2:6" x14ac:dyDescent="0.25">
      <c r="B406" s="27" t="s">
        <v>11</v>
      </c>
      <c r="C406" s="19">
        <f>40662+(3*365)</f>
        <v>41757</v>
      </c>
      <c r="D406" s="18" t="s">
        <v>60</v>
      </c>
      <c r="E406" s="18" t="s">
        <v>61</v>
      </c>
      <c r="F406" s="21">
        <v>1422</v>
      </c>
    </row>
    <row r="407" spans="2:6" x14ac:dyDescent="0.25">
      <c r="B407" s="27" t="s">
        <v>18</v>
      </c>
      <c r="C407" s="19">
        <f>40893+(3*365)</f>
        <v>41988</v>
      </c>
      <c r="D407" s="18" t="s">
        <v>71</v>
      </c>
      <c r="E407" s="18" t="s">
        <v>59</v>
      </c>
      <c r="F407" s="21">
        <v>1064</v>
      </c>
    </row>
    <row r="408" spans="2:6" x14ac:dyDescent="0.25">
      <c r="B408" s="27" t="s">
        <v>10</v>
      </c>
      <c r="C408" s="19">
        <f>39904+(3*365)</f>
        <v>40999</v>
      </c>
      <c r="D408" s="18" t="s">
        <v>67</v>
      </c>
      <c r="E408" s="18" t="s">
        <v>63</v>
      </c>
      <c r="F408" s="21">
        <v>2376</v>
      </c>
    </row>
    <row r="409" spans="2:6" x14ac:dyDescent="0.25">
      <c r="B409" s="27" t="s">
        <v>25</v>
      </c>
      <c r="C409" s="19">
        <f>41080+(3*365)</f>
        <v>42175</v>
      </c>
      <c r="D409" s="18" t="s">
        <v>78</v>
      </c>
      <c r="E409" s="18" t="s">
        <v>69</v>
      </c>
      <c r="F409" s="21">
        <v>2576</v>
      </c>
    </row>
    <row r="410" spans="2:6" x14ac:dyDescent="0.25">
      <c r="B410" s="27" t="s">
        <v>10</v>
      </c>
      <c r="C410" s="19">
        <f>41149+(3*365)</f>
        <v>42244</v>
      </c>
      <c r="D410" s="18" t="s">
        <v>65</v>
      </c>
      <c r="E410" s="18" t="s">
        <v>75</v>
      </c>
      <c r="F410" s="21">
        <v>240</v>
      </c>
    </row>
    <row r="411" spans="2:6" x14ac:dyDescent="0.25">
      <c r="B411" s="27" t="s">
        <v>21</v>
      </c>
      <c r="C411" s="19">
        <f>40233+(3*365)</f>
        <v>41328</v>
      </c>
      <c r="D411" s="18" t="s">
        <v>73</v>
      </c>
      <c r="E411" s="18" t="s">
        <v>75</v>
      </c>
      <c r="F411" s="21">
        <v>120</v>
      </c>
    </row>
    <row r="412" spans="2:6" x14ac:dyDescent="0.25">
      <c r="B412" s="27" t="s">
        <v>9</v>
      </c>
      <c r="C412" s="19">
        <f>40518+(3*365)</f>
        <v>41613</v>
      </c>
      <c r="D412" s="18" t="s">
        <v>62</v>
      </c>
      <c r="E412" s="18" t="s">
        <v>64</v>
      </c>
      <c r="F412" s="21">
        <v>4304</v>
      </c>
    </row>
    <row r="413" spans="2:6" x14ac:dyDescent="0.25">
      <c r="B413" s="27" t="s">
        <v>10</v>
      </c>
      <c r="C413" s="19">
        <f>40984+(3*365)</f>
        <v>42079</v>
      </c>
      <c r="D413" s="18" t="s">
        <v>65</v>
      </c>
      <c r="E413" s="18" t="s">
        <v>72</v>
      </c>
      <c r="F413" s="21">
        <v>7263</v>
      </c>
    </row>
    <row r="414" spans="2:6" x14ac:dyDescent="0.25">
      <c r="B414" s="27" t="s">
        <v>9</v>
      </c>
      <c r="C414" s="19">
        <f>41159+(3*365)</f>
        <v>42254</v>
      </c>
      <c r="D414" s="18" t="s">
        <v>62</v>
      </c>
      <c r="E414" s="18" t="s">
        <v>75</v>
      </c>
      <c r="F414" s="21">
        <v>351</v>
      </c>
    </row>
    <row r="415" spans="2:6" x14ac:dyDescent="0.25">
      <c r="B415" s="27" t="s">
        <v>8</v>
      </c>
      <c r="C415" s="19">
        <f>40640+(3*365)</f>
        <v>41735</v>
      </c>
      <c r="D415" s="18" t="s">
        <v>77</v>
      </c>
      <c r="E415" s="18" t="s">
        <v>75</v>
      </c>
      <c r="F415" s="21">
        <v>512</v>
      </c>
    </row>
    <row r="416" spans="2:6" x14ac:dyDescent="0.25">
      <c r="B416" s="27" t="s">
        <v>8</v>
      </c>
      <c r="C416" s="19">
        <f>40154+(3*365)</f>
        <v>41249</v>
      </c>
      <c r="D416" s="18" t="s">
        <v>77</v>
      </c>
      <c r="E416" s="18" t="s">
        <v>59</v>
      </c>
      <c r="F416" s="21">
        <v>180</v>
      </c>
    </row>
    <row r="417" spans="2:6" x14ac:dyDescent="0.25">
      <c r="B417" s="27" t="s">
        <v>25</v>
      </c>
      <c r="C417" s="19">
        <f>39990+(3*365)</f>
        <v>41085</v>
      </c>
      <c r="D417" s="18" t="s">
        <v>78</v>
      </c>
      <c r="E417" s="18" t="s">
        <v>63</v>
      </c>
      <c r="F417" s="21">
        <v>518</v>
      </c>
    </row>
    <row r="418" spans="2:6" x14ac:dyDescent="0.25">
      <c r="B418" s="27" t="s">
        <v>11</v>
      </c>
      <c r="C418" s="19">
        <f>40744+(3*365)</f>
        <v>41839</v>
      </c>
      <c r="D418" s="18" t="s">
        <v>60</v>
      </c>
      <c r="E418" s="18" t="s">
        <v>72</v>
      </c>
      <c r="F418" s="21">
        <v>2496</v>
      </c>
    </row>
    <row r="419" spans="2:6" x14ac:dyDescent="0.25">
      <c r="B419" s="27" t="s">
        <v>10</v>
      </c>
      <c r="C419" s="19">
        <f>40450+(3*365)</f>
        <v>41545</v>
      </c>
      <c r="D419" s="18" t="s">
        <v>67</v>
      </c>
      <c r="E419" s="18" t="s">
        <v>72</v>
      </c>
      <c r="F419" s="21">
        <v>447</v>
      </c>
    </row>
    <row r="420" spans="2:6" x14ac:dyDescent="0.25">
      <c r="B420" s="27" t="s">
        <v>10</v>
      </c>
      <c r="C420" s="19">
        <f>41089+(3*365)</f>
        <v>42184</v>
      </c>
      <c r="D420" s="18" t="s">
        <v>67</v>
      </c>
      <c r="E420" s="18" t="s">
        <v>59</v>
      </c>
      <c r="F420" s="21">
        <v>222</v>
      </c>
    </row>
    <row r="421" spans="2:6" x14ac:dyDescent="0.25">
      <c r="B421" s="27" t="s">
        <v>11</v>
      </c>
      <c r="C421" s="19">
        <f>40384+(3*365)</f>
        <v>41479</v>
      </c>
      <c r="D421" s="18" t="s">
        <v>60</v>
      </c>
      <c r="E421" s="18" t="s">
        <v>59</v>
      </c>
      <c r="F421" s="21">
        <v>570</v>
      </c>
    </row>
    <row r="422" spans="2:6" x14ac:dyDescent="0.25">
      <c r="B422" s="27" t="s">
        <v>18</v>
      </c>
      <c r="C422" s="19">
        <f>40961+(3*365)</f>
        <v>42056</v>
      </c>
      <c r="D422" s="18" t="s">
        <v>71</v>
      </c>
      <c r="E422" s="18" t="s">
        <v>61</v>
      </c>
      <c r="F422" s="21">
        <v>672</v>
      </c>
    </row>
    <row r="423" spans="2:6" x14ac:dyDescent="0.25">
      <c r="B423" s="27" t="s">
        <v>10</v>
      </c>
      <c r="C423" s="19">
        <f>40106+(3*365)</f>
        <v>41201</v>
      </c>
      <c r="D423" s="18" t="s">
        <v>65</v>
      </c>
      <c r="E423" s="18" t="s">
        <v>63</v>
      </c>
      <c r="F423" s="21">
        <v>2176</v>
      </c>
    </row>
    <row r="424" spans="2:6" x14ac:dyDescent="0.25">
      <c r="B424" s="27" t="s">
        <v>18</v>
      </c>
      <c r="C424" s="19">
        <f>39903+(3*365)</f>
        <v>40998</v>
      </c>
      <c r="D424" s="18" t="s">
        <v>71</v>
      </c>
      <c r="E424" s="18" t="s">
        <v>61</v>
      </c>
      <c r="F424" s="21">
        <v>810</v>
      </c>
    </row>
    <row r="425" spans="2:6" x14ac:dyDescent="0.25">
      <c r="B425" s="27" t="s">
        <v>8</v>
      </c>
      <c r="C425" s="19">
        <f>39844+(3*365)</f>
        <v>40939</v>
      </c>
      <c r="D425" s="18" t="s">
        <v>81</v>
      </c>
      <c r="E425" s="18" t="s">
        <v>72</v>
      </c>
      <c r="F425" s="21">
        <v>1776</v>
      </c>
    </row>
    <row r="426" spans="2:6" x14ac:dyDescent="0.25">
      <c r="B426" s="27" t="s">
        <v>10</v>
      </c>
      <c r="C426" s="19">
        <f>41230+(3*365)</f>
        <v>42325</v>
      </c>
      <c r="D426" s="18" t="s">
        <v>65</v>
      </c>
      <c r="E426" s="18" t="s">
        <v>75</v>
      </c>
      <c r="F426" s="21">
        <v>102</v>
      </c>
    </row>
    <row r="427" spans="2:6" x14ac:dyDescent="0.25">
      <c r="B427" s="27" t="s">
        <v>21</v>
      </c>
      <c r="C427" s="19">
        <f>40840+(3*365)</f>
        <v>41935</v>
      </c>
      <c r="D427" s="18" t="s">
        <v>73</v>
      </c>
      <c r="E427" s="18" t="s">
        <v>61</v>
      </c>
      <c r="F427" s="21">
        <v>1917</v>
      </c>
    </row>
    <row r="428" spans="2:6" x14ac:dyDescent="0.25">
      <c r="B428" s="27" t="s">
        <v>21</v>
      </c>
      <c r="C428" s="19">
        <f>40618+(3*365)</f>
        <v>41713</v>
      </c>
      <c r="D428" s="18" t="s">
        <v>73</v>
      </c>
      <c r="E428" s="18" t="s">
        <v>66</v>
      </c>
      <c r="F428" s="21">
        <v>576</v>
      </c>
    </row>
    <row r="429" spans="2:6" x14ac:dyDescent="0.25">
      <c r="B429" s="27" t="s">
        <v>31</v>
      </c>
      <c r="C429" s="19">
        <f>41137+(3*365)</f>
        <v>42232</v>
      </c>
      <c r="D429" s="18" t="s">
        <v>76</v>
      </c>
      <c r="E429" s="18" t="s">
        <v>64</v>
      </c>
      <c r="F429" s="21">
        <v>1194</v>
      </c>
    </row>
    <row r="430" spans="2:6" x14ac:dyDescent="0.25">
      <c r="B430" s="27" t="s">
        <v>31</v>
      </c>
      <c r="C430" s="19">
        <f>40162+(3*365)</f>
        <v>41257</v>
      </c>
      <c r="D430" s="18" t="s">
        <v>76</v>
      </c>
      <c r="E430" s="18" t="s">
        <v>69</v>
      </c>
      <c r="F430" s="21">
        <v>1404</v>
      </c>
    </row>
    <row r="431" spans="2:6" x14ac:dyDescent="0.25">
      <c r="B431" s="27" t="s">
        <v>9</v>
      </c>
      <c r="C431" s="19">
        <f>39912+(3*365)</f>
        <v>41007</v>
      </c>
      <c r="D431" s="18" t="s">
        <v>62</v>
      </c>
      <c r="E431" s="18" t="s">
        <v>66</v>
      </c>
      <c r="F431" s="21">
        <v>1020</v>
      </c>
    </row>
    <row r="432" spans="2:6" x14ac:dyDescent="0.25">
      <c r="B432" s="27" t="s">
        <v>8</v>
      </c>
      <c r="C432" s="19">
        <f>40465+(3*365)</f>
        <v>41560</v>
      </c>
      <c r="D432" s="18" t="s">
        <v>77</v>
      </c>
      <c r="E432" s="18" t="s">
        <v>63</v>
      </c>
      <c r="F432" s="21">
        <v>1080</v>
      </c>
    </row>
    <row r="433" spans="2:6" x14ac:dyDescent="0.25">
      <c r="B433" s="27" t="s">
        <v>9</v>
      </c>
      <c r="C433" s="19">
        <f>40238+(3*365)</f>
        <v>41333</v>
      </c>
      <c r="D433" s="18" t="s">
        <v>80</v>
      </c>
      <c r="E433" s="18" t="s">
        <v>75</v>
      </c>
      <c r="F433" s="21">
        <v>196</v>
      </c>
    </row>
    <row r="434" spans="2:6" x14ac:dyDescent="0.25">
      <c r="B434" s="27" t="s">
        <v>10</v>
      </c>
      <c r="C434" s="19">
        <f>40700+(3*365)</f>
        <v>41795</v>
      </c>
      <c r="D434" s="18" t="s">
        <v>65</v>
      </c>
      <c r="E434" s="18" t="s">
        <v>66</v>
      </c>
      <c r="F434" s="21">
        <v>270</v>
      </c>
    </row>
    <row r="435" spans="2:6" x14ac:dyDescent="0.25">
      <c r="B435" s="27" t="s">
        <v>31</v>
      </c>
      <c r="C435" s="19">
        <f>41185+(3*365)</f>
        <v>42280</v>
      </c>
      <c r="D435" s="18" t="s">
        <v>70</v>
      </c>
      <c r="E435" s="18" t="s">
        <v>61</v>
      </c>
      <c r="F435" s="21">
        <v>288</v>
      </c>
    </row>
    <row r="436" spans="2:6" x14ac:dyDescent="0.25">
      <c r="B436" s="27" t="s">
        <v>9</v>
      </c>
      <c r="C436" s="19">
        <f>39857+(3*365)</f>
        <v>40952</v>
      </c>
      <c r="D436" s="18" t="s">
        <v>80</v>
      </c>
      <c r="E436" s="18" t="s">
        <v>75</v>
      </c>
      <c r="F436" s="21">
        <v>256</v>
      </c>
    </row>
    <row r="437" spans="2:6" x14ac:dyDescent="0.25">
      <c r="B437" s="27" t="s">
        <v>31</v>
      </c>
      <c r="C437" s="19">
        <f>40465+(3*365)</f>
        <v>41560</v>
      </c>
      <c r="D437" s="18" t="s">
        <v>70</v>
      </c>
      <c r="E437" s="18" t="s">
        <v>61</v>
      </c>
      <c r="F437" s="21">
        <v>666</v>
      </c>
    </row>
    <row r="438" spans="2:6" x14ac:dyDescent="0.25">
      <c r="B438" s="27" t="s">
        <v>10</v>
      </c>
      <c r="C438" s="19">
        <f>40993+(3*365)</f>
        <v>42088</v>
      </c>
      <c r="D438" s="18" t="s">
        <v>67</v>
      </c>
      <c r="E438" s="18" t="s">
        <v>66</v>
      </c>
      <c r="F438" s="21">
        <v>1617</v>
      </c>
    </row>
    <row r="439" spans="2:6" x14ac:dyDescent="0.25">
      <c r="B439" s="27" t="s">
        <v>10</v>
      </c>
      <c r="C439" s="19">
        <f>40982+(3*365)</f>
        <v>42077</v>
      </c>
      <c r="D439" s="18" t="s">
        <v>65</v>
      </c>
      <c r="E439" s="18" t="s">
        <v>66</v>
      </c>
      <c r="F439" s="21">
        <v>540</v>
      </c>
    </row>
    <row r="440" spans="2:6" x14ac:dyDescent="0.25">
      <c r="B440" s="27" t="s">
        <v>25</v>
      </c>
      <c r="C440" s="19">
        <f>41057+(3*365)</f>
        <v>42152</v>
      </c>
      <c r="D440" s="18" t="s">
        <v>79</v>
      </c>
      <c r="E440" s="18" t="s">
        <v>63</v>
      </c>
      <c r="F440" s="21">
        <v>868</v>
      </c>
    </row>
    <row r="441" spans="2:6" x14ac:dyDescent="0.25">
      <c r="B441" s="27" t="s">
        <v>25</v>
      </c>
      <c r="C441" s="19">
        <f>39852+(3*365)</f>
        <v>40947</v>
      </c>
      <c r="D441" s="18" t="s">
        <v>78</v>
      </c>
      <c r="E441" s="18" t="s">
        <v>72</v>
      </c>
      <c r="F441" s="21">
        <v>240</v>
      </c>
    </row>
    <row r="442" spans="2:6" x14ac:dyDescent="0.25">
      <c r="B442" s="27" t="s">
        <v>25</v>
      </c>
      <c r="C442" s="19">
        <f>40675+(3*365)</f>
        <v>41770</v>
      </c>
      <c r="D442" s="18" t="s">
        <v>78</v>
      </c>
      <c r="E442" s="18" t="s">
        <v>59</v>
      </c>
      <c r="F442" s="21">
        <v>512</v>
      </c>
    </row>
    <row r="443" spans="2:6" x14ac:dyDescent="0.25">
      <c r="B443" s="27" t="s">
        <v>25</v>
      </c>
      <c r="C443" s="19">
        <f>41206+(3*365)</f>
        <v>42301</v>
      </c>
      <c r="D443" s="18" t="s">
        <v>79</v>
      </c>
      <c r="E443" s="18" t="s">
        <v>72</v>
      </c>
      <c r="F443" s="21">
        <v>484</v>
      </c>
    </row>
    <row r="444" spans="2:6" x14ac:dyDescent="0.25">
      <c r="B444" s="27" t="s">
        <v>31</v>
      </c>
      <c r="C444" s="19">
        <f>40675+(3*365)</f>
        <v>41770</v>
      </c>
      <c r="D444" s="18" t="s">
        <v>70</v>
      </c>
      <c r="E444" s="18" t="s">
        <v>63</v>
      </c>
      <c r="F444" s="21">
        <v>918</v>
      </c>
    </row>
    <row r="445" spans="2:6" x14ac:dyDescent="0.25">
      <c r="B445" s="27" t="s">
        <v>10</v>
      </c>
      <c r="C445" s="19">
        <f>40629+(3*365)</f>
        <v>41724</v>
      </c>
      <c r="D445" s="18" t="s">
        <v>65</v>
      </c>
      <c r="E445" s="18" t="s">
        <v>63</v>
      </c>
      <c r="F445" s="21">
        <v>680</v>
      </c>
    </row>
    <row r="446" spans="2:6" x14ac:dyDescent="0.25">
      <c r="B446" s="27" t="s">
        <v>25</v>
      </c>
      <c r="C446" s="19">
        <f>40182+(3*365)</f>
        <v>41277</v>
      </c>
      <c r="D446" s="18" t="s">
        <v>79</v>
      </c>
      <c r="E446" s="18" t="s">
        <v>63</v>
      </c>
      <c r="F446" s="21">
        <v>1656</v>
      </c>
    </row>
    <row r="447" spans="2:6" x14ac:dyDescent="0.25">
      <c r="B447" s="27" t="s">
        <v>11</v>
      </c>
      <c r="C447" s="19">
        <f>40174+(3*365)</f>
        <v>41269</v>
      </c>
      <c r="D447" s="18" t="s">
        <v>74</v>
      </c>
      <c r="E447" s="18" t="s">
        <v>61</v>
      </c>
      <c r="F447" s="21">
        <v>186</v>
      </c>
    </row>
    <row r="448" spans="2:6" x14ac:dyDescent="0.25">
      <c r="B448" s="27" t="s">
        <v>11</v>
      </c>
      <c r="C448" s="19">
        <f>40940+(3*365)</f>
        <v>42035</v>
      </c>
      <c r="D448" s="18" t="s">
        <v>60</v>
      </c>
      <c r="E448" s="18" t="s">
        <v>61</v>
      </c>
      <c r="F448" s="21">
        <v>1152</v>
      </c>
    </row>
    <row r="449" spans="2:6" x14ac:dyDescent="0.25">
      <c r="B449" s="27" t="s">
        <v>25</v>
      </c>
      <c r="C449" s="19">
        <f>40381+(3*365)</f>
        <v>41476</v>
      </c>
      <c r="D449" s="18" t="s">
        <v>78</v>
      </c>
      <c r="E449" s="18" t="s">
        <v>75</v>
      </c>
      <c r="F449" s="21">
        <v>132</v>
      </c>
    </row>
    <row r="450" spans="2:6" x14ac:dyDescent="0.25">
      <c r="B450" s="27" t="s">
        <v>9</v>
      </c>
      <c r="C450" s="19">
        <f>41010+(3*365)</f>
        <v>42105</v>
      </c>
      <c r="D450" s="18" t="s">
        <v>80</v>
      </c>
      <c r="E450" s="18" t="s">
        <v>59</v>
      </c>
      <c r="F450" s="21">
        <v>130</v>
      </c>
    </row>
    <row r="451" spans="2:6" x14ac:dyDescent="0.25">
      <c r="B451" s="27" t="s">
        <v>25</v>
      </c>
      <c r="C451" s="19">
        <f>40208+(3*365)</f>
        <v>41303</v>
      </c>
      <c r="D451" s="18" t="s">
        <v>78</v>
      </c>
      <c r="E451" s="18" t="s">
        <v>69</v>
      </c>
      <c r="F451" s="21">
        <v>4158</v>
      </c>
    </row>
    <row r="452" spans="2:6" x14ac:dyDescent="0.25">
      <c r="B452" s="27" t="s">
        <v>21</v>
      </c>
      <c r="C452" s="19">
        <f>40117+(3*365)</f>
        <v>41212</v>
      </c>
      <c r="D452" s="18" t="s">
        <v>58</v>
      </c>
      <c r="E452" s="18" t="s">
        <v>69</v>
      </c>
      <c r="F452" s="21">
        <v>1640</v>
      </c>
    </row>
    <row r="453" spans="2:6" x14ac:dyDescent="0.25">
      <c r="B453" s="27" t="s">
        <v>10</v>
      </c>
      <c r="C453" s="19">
        <f>40842+(3*365)</f>
        <v>41937</v>
      </c>
      <c r="D453" s="18" t="s">
        <v>65</v>
      </c>
      <c r="E453" s="18" t="s">
        <v>63</v>
      </c>
      <c r="F453" s="21">
        <v>40</v>
      </c>
    </row>
    <row r="454" spans="2:6" x14ac:dyDescent="0.25">
      <c r="B454" s="27" t="s">
        <v>10</v>
      </c>
      <c r="C454" s="19">
        <f>40735+(3*365)</f>
        <v>41830</v>
      </c>
      <c r="D454" s="18" t="s">
        <v>65</v>
      </c>
      <c r="E454" s="18" t="s">
        <v>63</v>
      </c>
      <c r="F454" s="21">
        <v>528</v>
      </c>
    </row>
    <row r="455" spans="2:6" x14ac:dyDescent="0.25">
      <c r="B455" s="27" t="s">
        <v>11</v>
      </c>
      <c r="C455" s="19">
        <f>40855+(3*365)</f>
        <v>41950</v>
      </c>
      <c r="D455" s="18" t="s">
        <v>60</v>
      </c>
      <c r="E455" s="18" t="s">
        <v>75</v>
      </c>
      <c r="F455" s="21">
        <v>78</v>
      </c>
    </row>
    <row r="456" spans="2:6" x14ac:dyDescent="0.25">
      <c r="B456" s="27" t="s">
        <v>11</v>
      </c>
      <c r="C456" s="19">
        <f>40759+(3*365)</f>
        <v>41854</v>
      </c>
      <c r="D456" s="18" t="s">
        <v>60</v>
      </c>
      <c r="E456" s="18" t="s">
        <v>72</v>
      </c>
      <c r="F456" s="21">
        <v>2169</v>
      </c>
    </row>
    <row r="457" spans="2:6" x14ac:dyDescent="0.25">
      <c r="B457" s="27" t="s">
        <v>21</v>
      </c>
      <c r="C457" s="19">
        <f>40252+(3*365)</f>
        <v>41347</v>
      </c>
      <c r="D457" s="18" t="s">
        <v>73</v>
      </c>
      <c r="E457" s="18" t="s">
        <v>64</v>
      </c>
      <c r="F457" s="21">
        <v>6136</v>
      </c>
    </row>
    <row r="458" spans="2:6" x14ac:dyDescent="0.25">
      <c r="B458" s="27" t="s">
        <v>21</v>
      </c>
      <c r="C458" s="19">
        <f>41039+(3*365)</f>
        <v>42134</v>
      </c>
      <c r="D458" s="18" t="s">
        <v>73</v>
      </c>
      <c r="E458" s="18" t="s">
        <v>69</v>
      </c>
      <c r="F458" s="21">
        <v>3220</v>
      </c>
    </row>
    <row r="459" spans="2:6" x14ac:dyDescent="0.25">
      <c r="B459" s="27" t="s">
        <v>8</v>
      </c>
      <c r="C459" s="19">
        <f>40917+(3*365)</f>
        <v>42012</v>
      </c>
      <c r="D459" s="18" t="s">
        <v>81</v>
      </c>
      <c r="E459" s="18" t="s">
        <v>61</v>
      </c>
      <c r="F459" s="21">
        <v>1152</v>
      </c>
    </row>
    <row r="460" spans="2:6" x14ac:dyDescent="0.25">
      <c r="B460" s="27" t="s">
        <v>21</v>
      </c>
      <c r="C460" s="19">
        <f>41043+(3*365)</f>
        <v>42138</v>
      </c>
      <c r="D460" s="18" t="s">
        <v>58</v>
      </c>
      <c r="E460" s="18" t="s">
        <v>75</v>
      </c>
      <c r="F460" s="21">
        <v>256</v>
      </c>
    </row>
    <row r="461" spans="2:6" x14ac:dyDescent="0.25">
      <c r="B461" s="27" t="s">
        <v>21</v>
      </c>
      <c r="C461" s="19">
        <f>40464+(3*365)</f>
        <v>41559</v>
      </c>
      <c r="D461" s="18" t="s">
        <v>73</v>
      </c>
      <c r="E461" s="18" t="s">
        <v>69</v>
      </c>
      <c r="F461" s="21">
        <v>2682</v>
      </c>
    </row>
    <row r="462" spans="2:6" x14ac:dyDescent="0.25">
      <c r="B462" s="27" t="s">
        <v>25</v>
      </c>
      <c r="C462" s="19">
        <f>40803+(3*365)</f>
        <v>41898</v>
      </c>
      <c r="D462" s="18" t="s">
        <v>79</v>
      </c>
      <c r="E462" s="18" t="s">
        <v>61</v>
      </c>
      <c r="F462" s="21">
        <v>624</v>
      </c>
    </row>
    <row r="463" spans="2:6" x14ac:dyDescent="0.25">
      <c r="B463" s="27" t="s">
        <v>11</v>
      </c>
      <c r="C463" s="19">
        <f>40495+(3*365)</f>
        <v>41590</v>
      </c>
      <c r="D463" s="18" t="s">
        <v>74</v>
      </c>
      <c r="E463" s="18" t="s">
        <v>66</v>
      </c>
      <c r="F463" s="21">
        <v>522</v>
      </c>
    </row>
    <row r="464" spans="2:6" x14ac:dyDescent="0.25">
      <c r="B464" s="27" t="s">
        <v>8</v>
      </c>
      <c r="C464" s="19">
        <f>40703+(3*365)</f>
        <v>41798</v>
      </c>
      <c r="D464" s="18" t="s">
        <v>81</v>
      </c>
      <c r="E464" s="18" t="s">
        <v>61</v>
      </c>
      <c r="F464" s="21">
        <v>688</v>
      </c>
    </row>
    <row r="465" spans="2:6" x14ac:dyDescent="0.25">
      <c r="B465" s="27" t="s">
        <v>11</v>
      </c>
      <c r="C465" s="19">
        <f>41004+(3*365)</f>
        <v>42099</v>
      </c>
      <c r="D465" s="18" t="s">
        <v>74</v>
      </c>
      <c r="E465" s="18" t="s">
        <v>59</v>
      </c>
      <c r="F465" s="21">
        <v>560</v>
      </c>
    </row>
    <row r="466" spans="2:6" x14ac:dyDescent="0.25">
      <c r="B466" s="27" t="s">
        <v>21</v>
      </c>
      <c r="C466" s="19">
        <f>40780+(3*365)</f>
        <v>41875</v>
      </c>
      <c r="D466" s="18" t="s">
        <v>58</v>
      </c>
      <c r="E466" s="18" t="s">
        <v>69</v>
      </c>
      <c r="F466" s="21">
        <v>5481</v>
      </c>
    </row>
    <row r="467" spans="2:6" x14ac:dyDescent="0.25">
      <c r="B467" s="27" t="s">
        <v>25</v>
      </c>
      <c r="C467" s="19">
        <f>41255+(3*365)</f>
        <v>42350</v>
      </c>
      <c r="D467" s="18" t="s">
        <v>79</v>
      </c>
      <c r="E467" s="18" t="s">
        <v>72</v>
      </c>
      <c r="F467" s="21">
        <v>3798</v>
      </c>
    </row>
    <row r="468" spans="2:6" x14ac:dyDescent="0.25">
      <c r="B468" s="27" t="s">
        <v>8</v>
      </c>
      <c r="C468" s="19">
        <f>40863+(3*365)</f>
        <v>41958</v>
      </c>
      <c r="D468" s="18" t="s">
        <v>81</v>
      </c>
      <c r="E468" s="18" t="s">
        <v>59</v>
      </c>
      <c r="F468" s="21">
        <v>740</v>
      </c>
    </row>
    <row r="469" spans="2:6" x14ac:dyDescent="0.25">
      <c r="B469" s="27" t="s">
        <v>18</v>
      </c>
      <c r="C469" s="19">
        <f>40461+(3*365)</f>
        <v>41556</v>
      </c>
      <c r="D469" s="18" t="s">
        <v>68</v>
      </c>
      <c r="E469" s="18" t="s">
        <v>72</v>
      </c>
      <c r="F469" s="21">
        <v>2964</v>
      </c>
    </row>
    <row r="470" spans="2:6" x14ac:dyDescent="0.25">
      <c r="B470" s="27" t="s">
        <v>21</v>
      </c>
      <c r="C470" s="19">
        <f>41178+(3*365)</f>
        <v>42273</v>
      </c>
      <c r="D470" s="18" t="s">
        <v>73</v>
      </c>
      <c r="E470" s="18" t="s">
        <v>75</v>
      </c>
      <c r="F470" s="21">
        <v>576</v>
      </c>
    </row>
    <row r="471" spans="2:6" x14ac:dyDescent="0.25">
      <c r="B471" s="27" t="s">
        <v>8</v>
      </c>
      <c r="C471" s="19">
        <f>39833+(3*365)</f>
        <v>40928</v>
      </c>
      <c r="D471" s="18" t="s">
        <v>81</v>
      </c>
      <c r="E471" s="18" t="s">
        <v>72</v>
      </c>
      <c r="F471" s="21">
        <v>786</v>
      </c>
    </row>
    <row r="472" spans="2:6" x14ac:dyDescent="0.25">
      <c r="B472" s="27" t="s">
        <v>9</v>
      </c>
      <c r="C472" s="19">
        <f>40974+(3*365)</f>
        <v>42069</v>
      </c>
      <c r="D472" s="18" t="s">
        <v>80</v>
      </c>
      <c r="E472" s="18" t="s">
        <v>75</v>
      </c>
      <c r="F472" s="21">
        <v>72</v>
      </c>
    </row>
    <row r="473" spans="2:6" x14ac:dyDescent="0.25">
      <c r="B473" s="27" t="s">
        <v>8</v>
      </c>
      <c r="C473" s="19">
        <f>40952+(3*365)</f>
        <v>42047</v>
      </c>
      <c r="D473" s="18" t="s">
        <v>81</v>
      </c>
      <c r="E473" s="18" t="s">
        <v>59</v>
      </c>
      <c r="F473" s="21">
        <v>700</v>
      </c>
    </row>
    <row r="474" spans="2:6" x14ac:dyDescent="0.25">
      <c r="B474" s="27" t="s">
        <v>9</v>
      </c>
      <c r="C474" s="19">
        <f>40329+(3*365)</f>
        <v>41424</v>
      </c>
      <c r="D474" s="18" t="s">
        <v>62</v>
      </c>
      <c r="E474" s="18" t="s">
        <v>63</v>
      </c>
      <c r="F474" s="21">
        <v>84</v>
      </c>
    </row>
    <row r="475" spans="2:6" x14ac:dyDescent="0.25">
      <c r="B475" s="27" t="s">
        <v>11</v>
      </c>
      <c r="C475" s="19">
        <f>40919+(3*365)</f>
        <v>42014</v>
      </c>
      <c r="D475" s="18" t="s">
        <v>60</v>
      </c>
      <c r="E475" s="18" t="s">
        <v>66</v>
      </c>
      <c r="F475" s="21">
        <v>2520</v>
      </c>
    </row>
    <row r="476" spans="2:6" x14ac:dyDescent="0.25">
      <c r="B476" s="27" t="s">
        <v>21</v>
      </c>
      <c r="C476" s="19">
        <f>40620+(3*365)</f>
        <v>41715</v>
      </c>
      <c r="D476" s="18" t="s">
        <v>73</v>
      </c>
      <c r="E476" s="18" t="s">
        <v>64</v>
      </c>
      <c r="F476" s="21">
        <v>5235</v>
      </c>
    </row>
    <row r="477" spans="2:6" x14ac:dyDescent="0.25">
      <c r="B477" s="27" t="s">
        <v>21</v>
      </c>
      <c r="C477" s="19">
        <f>40569+(3*365)</f>
        <v>41664</v>
      </c>
      <c r="D477" s="18" t="s">
        <v>58</v>
      </c>
      <c r="E477" s="18" t="s">
        <v>59</v>
      </c>
      <c r="F477" s="21">
        <v>756</v>
      </c>
    </row>
    <row r="478" spans="2:6" x14ac:dyDescent="0.25">
      <c r="B478" s="27" t="s">
        <v>8</v>
      </c>
      <c r="C478" s="19">
        <f>40106+(3*365)</f>
        <v>41201</v>
      </c>
      <c r="D478" s="18" t="s">
        <v>81</v>
      </c>
      <c r="E478" s="18" t="s">
        <v>69</v>
      </c>
      <c r="F478" s="21">
        <v>3528</v>
      </c>
    </row>
    <row r="479" spans="2:6" x14ac:dyDescent="0.25">
      <c r="B479" s="27" t="s">
        <v>31</v>
      </c>
      <c r="C479" s="19">
        <f>41126+(3*365)</f>
        <v>42221</v>
      </c>
      <c r="D479" s="18" t="s">
        <v>70</v>
      </c>
      <c r="E479" s="18" t="s">
        <v>59</v>
      </c>
      <c r="F479" s="21">
        <v>252</v>
      </c>
    </row>
    <row r="480" spans="2:6" x14ac:dyDescent="0.25">
      <c r="B480" s="27" t="s">
        <v>10</v>
      </c>
      <c r="C480" s="19">
        <f>40148+(3*365)</f>
        <v>41243</v>
      </c>
      <c r="D480" s="18" t="s">
        <v>65</v>
      </c>
      <c r="E480" s="18" t="s">
        <v>69</v>
      </c>
      <c r="F480" s="21">
        <v>2496</v>
      </c>
    </row>
    <row r="481" spans="2:6" x14ac:dyDescent="0.25">
      <c r="B481" s="27" t="s">
        <v>31</v>
      </c>
      <c r="C481" s="19">
        <f>41158+(3*365)</f>
        <v>42253</v>
      </c>
      <c r="D481" s="18" t="s">
        <v>70</v>
      </c>
      <c r="E481" s="18" t="s">
        <v>61</v>
      </c>
      <c r="F481" s="21">
        <v>675</v>
      </c>
    </row>
    <row r="482" spans="2:6" x14ac:dyDescent="0.25">
      <c r="B482" s="27" t="s">
        <v>9</v>
      </c>
      <c r="C482" s="19">
        <f>40073+(3*365)</f>
        <v>41168</v>
      </c>
      <c r="D482" s="18" t="s">
        <v>80</v>
      </c>
      <c r="E482" s="18" t="s">
        <v>75</v>
      </c>
      <c r="F482" s="21">
        <v>522</v>
      </c>
    </row>
    <row r="483" spans="2:6" x14ac:dyDescent="0.25">
      <c r="B483" s="27" t="s">
        <v>11</v>
      </c>
      <c r="C483" s="19">
        <f>40664+(3*365)</f>
        <v>41759</v>
      </c>
      <c r="D483" s="18" t="s">
        <v>60</v>
      </c>
      <c r="E483" s="18" t="s">
        <v>61</v>
      </c>
      <c r="F483" s="21">
        <v>138</v>
      </c>
    </row>
    <row r="484" spans="2:6" x14ac:dyDescent="0.25">
      <c r="B484" s="27" t="s">
        <v>21</v>
      </c>
      <c r="C484" s="19">
        <f>40366+(3*365)</f>
        <v>41461</v>
      </c>
      <c r="D484" s="18" t="s">
        <v>58</v>
      </c>
      <c r="E484" s="18" t="s">
        <v>75</v>
      </c>
      <c r="F484" s="21">
        <v>396</v>
      </c>
    </row>
    <row r="485" spans="2:6" x14ac:dyDescent="0.25">
      <c r="B485" s="27" t="s">
        <v>25</v>
      </c>
      <c r="C485" s="19">
        <f>39902+(3*365)</f>
        <v>40997</v>
      </c>
      <c r="D485" s="18" t="s">
        <v>78</v>
      </c>
      <c r="E485" s="18" t="s">
        <v>72</v>
      </c>
      <c r="F485" s="21">
        <v>2492</v>
      </c>
    </row>
    <row r="486" spans="2:6" x14ac:dyDescent="0.25">
      <c r="B486" s="27" t="s">
        <v>11</v>
      </c>
      <c r="C486" s="19">
        <f>40626+(3*365)</f>
        <v>41721</v>
      </c>
      <c r="D486" s="18" t="s">
        <v>60</v>
      </c>
      <c r="E486" s="18" t="s">
        <v>61</v>
      </c>
      <c r="F486" s="21">
        <v>240</v>
      </c>
    </row>
    <row r="487" spans="2:6" x14ac:dyDescent="0.25">
      <c r="B487" s="27" t="s">
        <v>21</v>
      </c>
      <c r="C487" s="19">
        <f>40243+(3*365)</f>
        <v>41338</v>
      </c>
      <c r="D487" s="18" t="s">
        <v>58</v>
      </c>
      <c r="E487" s="18" t="s">
        <v>64</v>
      </c>
      <c r="F487" s="21">
        <v>718</v>
      </c>
    </row>
    <row r="488" spans="2:6" x14ac:dyDescent="0.25">
      <c r="B488" s="27" t="s">
        <v>8</v>
      </c>
      <c r="C488" s="19">
        <f>40098+(3*365)</f>
        <v>41193</v>
      </c>
      <c r="D488" s="18" t="s">
        <v>81</v>
      </c>
      <c r="E488" s="18" t="s">
        <v>75</v>
      </c>
      <c r="F488" s="21">
        <v>243</v>
      </c>
    </row>
    <row r="489" spans="2:6" x14ac:dyDescent="0.25">
      <c r="B489" s="27" t="s">
        <v>25</v>
      </c>
      <c r="C489" s="19">
        <f>40988+(3*365)</f>
        <v>42083</v>
      </c>
      <c r="D489" s="18" t="s">
        <v>78</v>
      </c>
      <c r="E489" s="18" t="s">
        <v>66</v>
      </c>
      <c r="F489" s="21">
        <v>552</v>
      </c>
    </row>
    <row r="490" spans="2:6" x14ac:dyDescent="0.25">
      <c r="B490" s="27" t="s">
        <v>9</v>
      </c>
      <c r="C490" s="19">
        <f>40639+(3*365)</f>
        <v>41734</v>
      </c>
      <c r="D490" s="18" t="s">
        <v>62</v>
      </c>
      <c r="E490" s="18" t="s">
        <v>59</v>
      </c>
      <c r="F490" s="21">
        <v>528</v>
      </c>
    </row>
    <row r="491" spans="2:6" x14ac:dyDescent="0.25">
      <c r="B491" s="27" t="s">
        <v>10</v>
      </c>
      <c r="C491" s="19">
        <f>39965+(3*365)</f>
        <v>41060</v>
      </c>
      <c r="D491" s="18" t="s">
        <v>67</v>
      </c>
      <c r="E491" s="18" t="s">
        <v>75</v>
      </c>
      <c r="F491" s="21">
        <v>160</v>
      </c>
    </row>
    <row r="492" spans="2:6" x14ac:dyDescent="0.25">
      <c r="B492" s="27" t="s">
        <v>25</v>
      </c>
      <c r="C492" s="19">
        <f>41167+(3*365)</f>
        <v>42262</v>
      </c>
      <c r="D492" s="18" t="s">
        <v>79</v>
      </c>
      <c r="E492" s="18" t="s">
        <v>63</v>
      </c>
      <c r="F492" s="21">
        <v>60</v>
      </c>
    </row>
    <row r="493" spans="2:6" x14ac:dyDescent="0.25">
      <c r="B493" s="27" t="s">
        <v>25</v>
      </c>
      <c r="C493" s="19">
        <f>39953+(3*365)</f>
        <v>41048</v>
      </c>
      <c r="D493" s="18" t="s">
        <v>79</v>
      </c>
      <c r="E493" s="18" t="s">
        <v>59</v>
      </c>
      <c r="F493" s="21">
        <v>270</v>
      </c>
    </row>
    <row r="494" spans="2:6" x14ac:dyDescent="0.25">
      <c r="B494" s="27" t="s">
        <v>9</v>
      </c>
      <c r="C494" s="19">
        <f>39921+(3*365)</f>
        <v>41016</v>
      </c>
      <c r="D494" s="18" t="s">
        <v>80</v>
      </c>
      <c r="E494" s="18" t="s">
        <v>75</v>
      </c>
      <c r="F494" s="21">
        <v>180</v>
      </c>
    </row>
    <row r="495" spans="2:6" x14ac:dyDescent="0.25">
      <c r="B495" s="27" t="s">
        <v>10</v>
      </c>
      <c r="C495" s="19">
        <f>41088+(3*365)</f>
        <v>42183</v>
      </c>
      <c r="D495" s="18" t="s">
        <v>67</v>
      </c>
      <c r="E495" s="18" t="s">
        <v>75</v>
      </c>
      <c r="F495" s="21">
        <v>798</v>
      </c>
    </row>
    <row r="496" spans="2:6" x14ac:dyDescent="0.25">
      <c r="B496" s="27" t="s">
        <v>25</v>
      </c>
      <c r="C496" s="19">
        <f>40714+(3*365)</f>
        <v>41809</v>
      </c>
      <c r="D496" s="18" t="s">
        <v>78</v>
      </c>
      <c r="E496" s="18" t="s">
        <v>72</v>
      </c>
      <c r="F496" s="21">
        <v>256</v>
      </c>
    </row>
    <row r="497" spans="2:6" x14ac:dyDescent="0.25">
      <c r="B497" s="27" t="s">
        <v>18</v>
      </c>
      <c r="C497" s="19">
        <f>40338+(3*365)</f>
        <v>41433</v>
      </c>
      <c r="D497" s="18" t="s">
        <v>71</v>
      </c>
      <c r="E497" s="18" t="s">
        <v>59</v>
      </c>
      <c r="F497" s="21">
        <v>816</v>
      </c>
    </row>
    <row r="498" spans="2:6" x14ac:dyDescent="0.25">
      <c r="B498" s="27" t="s">
        <v>11</v>
      </c>
      <c r="C498" s="19">
        <f>39904+(3*365)</f>
        <v>40999</v>
      </c>
      <c r="D498" s="18" t="s">
        <v>60</v>
      </c>
      <c r="E498" s="18" t="s">
        <v>63</v>
      </c>
      <c r="F498" s="21">
        <v>774</v>
      </c>
    </row>
    <row r="499" spans="2:6" x14ac:dyDescent="0.25">
      <c r="B499" s="27" t="s">
        <v>25</v>
      </c>
      <c r="C499" s="19">
        <f>41047+(3*365)</f>
        <v>42142</v>
      </c>
      <c r="D499" s="18" t="s">
        <v>78</v>
      </c>
      <c r="E499" s="18" t="s">
        <v>63</v>
      </c>
      <c r="F499" s="21">
        <v>288</v>
      </c>
    </row>
    <row r="500" spans="2:6" x14ac:dyDescent="0.25">
      <c r="B500" s="27" t="s">
        <v>25</v>
      </c>
      <c r="C500" s="19">
        <f>40609+(3*365)</f>
        <v>41704</v>
      </c>
      <c r="D500" s="18" t="s">
        <v>79</v>
      </c>
      <c r="E500" s="18" t="s">
        <v>72</v>
      </c>
      <c r="F500" s="21">
        <v>604</v>
      </c>
    </row>
    <row r="501" spans="2:6" x14ac:dyDescent="0.25">
      <c r="B501" s="27" t="s">
        <v>9</v>
      </c>
      <c r="C501" s="19">
        <f>40272+(3*365)</f>
        <v>41367</v>
      </c>
      <c r="D501" s="18" t="s">
        <v>62</v>
      </c>
      <c r="E501" s="18" t="s">
        <v>61</v>
      </c>
      <c r="F501" s="21">
        <v>224</v>
      </c>
    </row>
    <row r="502" spans="2:6" x14ac:dyDescent="0.25">
      <c r="B502" s="27" t="s">
        <v>11</v>
      </c>
      <c r="C502" s="19">
        <f>41020+(3*365)</f>
        <v>42115</v>
      </c>
      <c r="D502" s="18" t="s">
        <v>74</v>
      </c>
      <c r="E502" s="18" t="s">
        <v>69</v>
      </c>
      <c r="F502" s="21">
        <v>7308</v>
      </c>
    </row>
    <row r="503" spans="2:6" x14ac:dyDescent="0.25">
      <c r="B503" s="27" t="s">
        <v>18</v>
      </c>
      <c r="C503" s="19">
        <f>41261+(3*365)</f>
        <v>42356</v>
      </c>
      <c r="D503" s="18" t="s">
        <v>68</v>
      </c>
      <c r="E503" s="18" t="s">
        <v>75</v>
      </c>
      <c r="F503" s="21">
        <v>744</v>
      </c>
    </row>
    <row r="504" spans="2:6" x14ac:dyDescent="0.25">
      <c r="B504" s="27" t="s">
        <v>25</v>
      </c>
      <c r="C504" s="19">
        <f>40357+(3*365)</f>
        <v>41452</v>
      </c>
      <c r="D504" s="18" t="s">
        <v>79</v>
      </c>
      <c r="E504" s="18" t="s">
        <v>63</v>
      </c>
      <c r="F504" s="21">
        <v>297</v>
      </c>
    </row>
    <row r="505" spans="2:6" x14ac:dyDescent="0.25">
      <c r="B505" s="27" t="s">
        <v>18</v>
      </c>
      <c r="C505" s="19">
        <f>40250+(3*365)</f>
        <v>41345</v>
      </c>
      <c r="D505" s="18" t="s">
        <v>68</v>
      </c>
      <c r="E505" s="18" t="s">
        <v>66</v>
      </c>
      <c r="F505" s="21">
        <v>99</v>
      </c>
    </row>
    <row r="506" spans="2:6" x14ac:dyDescent="0.25">
      <c r="B506" s="27" t="s">
        <v>10</v>
      </c>
      <c r="C506" s="19">
        <f>40992+(3*365)</f>
        <v>42087</v>
      </c>
      <c r="D506" s="18" t="s">
        <v>67</v>
      </c>
      <c r="E506" s="18" t="s">
        <v>69</v>
      </c>
      <c r="F506" s="21">
        <v>192</v>
      </c>
    </row>
    <row r="507" spans="2:6" x14ac:dyDescent="0.25">
      <c r="B507" s="27" t="s">
        <v>9</v>
      </c>
      <c r="C507" s="19">
        <f>40570+(3*365)</f>
        <v>41665</v>
      </c>
      <c r="D507" s="18" t="s">
        <v>80</v>
      </c>
      <c r="E507" s="18" t="s">
        <v>59</v>
      </c>
      <c r="F507" s="21">
        <v>225</v>
      </c>
    </row>
    <row r="508" spans="2:6" x14ac:dyDescent="0.25">
      <c r="B508" s="27" t="s">
        <v>21</v>
      </c>
      <c r="C508" s="19">
        <f>39858+(3*365)</f>
        <v>40953</v>
      </c>
      <c r="D508" s="18" t="s">
        <v>58</v>
      </c>
      <c r="E508" s="18" t="s">
        <v>66</v>
      </c>
      <c r="F508" s="21">
        <v>246</v>
      </c>
    </row>
    <row r="509" spans="2:6" x14ac:dyDescent="0.25">
      <c r="B509" s="27" t="s">
        <v>31</v>
      </c>
      <c r="C509" s="19">
        <f>40051+(3*365)</f>
        <v>41146</v>
      </c>
      <c r="D509" s="18" t="s">
        <v>76</v>
      </c>
      <c r="E509" s="18" t="s">
        <v>61</v>
      </c>
      <c r="F509" s="21">
        <v>312</v>
      </c>
    </row>
    <row r="510" spans="2:6" x14ac:dyDescent="0.25">
      <c r="B510" s="27" t="s">
        <v>31</v>
      </c>
      <c r="C510" s="19">
        <f>40949+(3*365)</f>
        <v>42044</v>
      </c>
      <c r="D510" s="18" t="s">
        <v>76</v>
      </c>
      <c r="E510" s="18" t="s">
        <v>66</v>
      </c>
      <c r="F510" s="21">
        <v>213</v>
      </c>
    </row>
    <row r="511" spans="2:6" x14ac:dyDescent="0.25">
      <c r="B511" s="27" t="s">
        <v>8</v>
      </c>
      <c r="C511" s="19">
        <f>41025+(3*365)</f>
        <v>42120</v>
      </c>
      <c r="D511" s="18" t="s">
        <v>77</v>
      </c>
      <c r="E511" s="18" t="s">
        <v>75</v>
      </c>
      <c r="F511" s="21">
        <v>320</v>
      </c>
    </row>
    <row r="512" spans="2:6" x14ac:dyDescent="0.25">
      <c r="B512" s="27" t="s">
        <v>11</v>
      </c>
      <c r="C512" s="19">
        <f>40927+(3*365)</f>
        <v>42022</v>
      </c>
      <c r="D512" s="18" t="s">
        <v>74</v>
      </c>
      <c r="E512" s="18" t="s">
        <v>66</v>
      </c>
      <c r="F512" s="21">
        <v>840</v>
      </c>
    </row>
    <row r="513" spans="2:6" x14ac:dyDescent="0.25">
      <c r="B513" s="27" t="s">
        <v>11</v>
      </c>
      <c r="C513" s="19">
        <f>40030+(3*365)</f>
        <v>41125</v>
      </c>
      <c r="D513" s="18" t="s">
        <v>60</v>
      </c>
      <c r="E513" s="18" t="s">
        <v>69</v>
      </c>
      <c r="F513" s="21">
        <v>1440</v>
      </c>
    </row>
    <row r="514" spans="2:6" x14ac:dyDescent="0.25">
      <c r="B514" s="27" t="s">
        <v>18</v>
      </c>
      <c r="C514" s="19">
        <f>40867+(3*365)</f>
        <v>41962</v>
      </c>
      <c r="D514" s="18" t="s">
        <v>71</v>
      </c>
      <c r="E514" s="18" t="s">
        <v>59</v>
      </c>
      <c r="F514" s="21">
        <v>896</v>
      </c>
    </row>
    <row r="515" spans="2:6" x14ac:dyDescent="0.25">
      <c r="B515" s="27" t="s">
        <v>11</v>
      </c>
      <c r="C515" s="19">
        <f>40372+(3*365)</f>
        <v>41467</v>
      </c>
      <c r="D515" s="18" t="s">
        <v>74</v>
      </c>
      <c r="E515" s="18" t="s">
        <v>72</v>
      </c>
      <c r="F515" s="21">
        <v>1308</v>
      </c>
    </row>
    <row r="516" spans="2:6" x14ac:dyDescent="0.25">
      <c r="B516" s="27" t="s">
        <v>8</v>
      </c>
      <c r="C516" s="19">
        <f>40580+(3*365)</f>
        <v>41675</v>
      </c>
      <c r="D516" s="18" t="s">
        <v>81</v>
      </c>
      <c r="E516" s="18" t="s">
        <v>59</v>
      </c>
      <c r="F516" s="21">
        <v>280</v>
      </c>
    </row>
    <row r="517" spans="2:6" x14ac:dyDescent="0.25">
      <c r="B517" s="27" t="s">
        <v>10</v>
      </c>
      <c r="C517" s="19">
        <f>41178+(3*365)</f>
        <v>42273</v>
      </c>
      <c r="D517" s="18" t="s">
        <v>65</v>
      </c>
      <c r="E517" s="18" t="s">
        <v>63</v>
      </c>
      <c r="F517" s="21">
        <v>780</v>
      </c>
    </row>
    <row r="518" spans="2:6" x14ac:dyDescent="0.25">
      <c r="B518" s="27" t="s">
        <v>31</v>
      </c>
      <c r="C518" s="19">
        <f>41194+(3*365)</f>
        <v>42289</v>
      </c>
      <c r="D518" s="18" t="s">
        <v>76</v>
      </c>
      <c r="E518" s="18" t="s">
        <v>69</v>
      </c>
      <c r="F518" s="21">
        <v>5508</v>
      </c>
    </row>
    <row r="519" spans="2:6" x14ac:dyDescent="0.25">
      <c r="B519" s="27" t="s">
        <v>10</v>
      </c>
      <c r="C519" s="19">
        <f>40161+(3*365)</f>
        <v>41256</v>
      </c>
      <c r="D519" s="18" t="s">
        <v>67</v>
      </c>
      <c r="E519" s="18" t="s">
        <v>59</v>
      </c>
      <c r="F519" s="21">
        <v>936</v>
      </c>
    </row>
    <row r="520" spans="2:6" x14ac:dyDescent="0.25">
      <c r="B520" s="27" t="s">
        <v>8</v>
      </c>
      <c r="C520" s="19">
        <f>40410+(3*365)</f>
        <v>41505</v>
      </c>
      <c r="D520" s="18" t="s">
        <v>81</v>
      </c>
      <c r="E520" s="18" t="s">
        <v>63</v>
      </c>
      <c r="F520" s="21">
        <v>928</v>
      </c>
    </row>
    <row r="521" spans="2:6" x14ac:dyDescent="0.25">
      <c r="B521" s="27" t="s">
        <v>8</v>
      </c>
      <c r="C521" s="19">
        <f>40930+(3*365)</f>
        <v>42025</v>
      </c>
      <c r="D521" s="18" t="s">
        <v>81</v>
      </c>
      <c r="E521" s="18" t="s">
        <v>61</v>
      </c>
      <c r="F521" s="21">
        <v>260</v>
      </c>
    </row>
    <row r="522" spans="2:6" x14ac:dyDescent="0.25">
      <c r="B522" s="27" t="s">
        <v>9</v>
      </c>
      <c r="C522" s="19">
        <f>40848+(3*365)</f>
        <v>41943</v>
      </c>
      <c r="D522" s="18" t="s">
        <v>62</v>
      </c>
      <c r="E522" s="18" t="s">
        <v>75</v>
      </c>
      <c r="F522" s="21">
        <v>261</v>
      </c>
    </row>
    <row r="523" spans="2:6" x14ac:dyDescent="0.25">
      <c r="B523" s="27" t="s">
        <v>11</v>
      </c>
      <c r="C523" s="19">
        <f>39999+(3*365)</f>
        <v>41094</v>
      </c>
      <c r="D523" s="18" t="s">
        <v>74</v>
      </c>
      <c r="E523" s="18" t="s">
        <v>64</v>
      </c>
      <c r="F523" s="21">
        <v>2490</v>
      </c>
    </row>
    <row r="524" spans="2:6" x14ac:dyDescent="0.25">
      <c r="B524" s="27" t="s">
        <v>31</v>
      </c>
      <c r="C524" s="19">
        <f>40219+(3*365)</f>
        <v>41314</v>
      </c>
      <c r="D524" s="18" t="s">
        <v>70</v>
      </c>
      <c r="E524" s="18" t="s">
        <v>61</v>
      </c>
      <c r="F524" s="21">
        <v>180</v>
      </c>
    </row>
    <row r="525" spans="2:6" x14ac:dyDescent="0.25">
      <c r="B525" s="27" t="s">
        <v>31</v>
      </c>
      <c r="C525" s="19">
        <f>41263+(3*365)</f>
        <v>42358</v>
      </c>
      <c r="D525" s="18" t="s">
        <v>70</v>
      </c>
      <c r="E525" s="18" t="s">
        <v>64</v>
      </c>
      <c r="F525" s="21">
        <v>4599</v>
      </c>
    </row>
    <row r="526" spans="2:6" x14ac:dyDescent="0.25">
      <c r="B526" s="27" t="s">
        <v>8</v>
      </c>
      <c r="C526" s="19">
        <f>39987+(3*365)</f>
        <v>41082</v>
      </c>
      <c r="D526" s="18" t="s">
        <v>77</v>
      </c>
      <c r="E526" s="18" t="s">
        <v>75</v>
      </c>
      <c r="F526" s="21">
        <v>234</v>
      </c>
    </row>
    <row r="527" spans="2:6" x14ac:dyDescent="0.25">
      <c r="B527" s="27" t="s">
        <v>18</v>
      </c>
      <c r="C527" s="19">
        <f>40205+(3*365)</f>
        <v>41300</v>
      </c>
      <c r="D527" s="18" t="s">
        <v>71</v>
      </c>
      <c r="E527" s="18" t="s">
        <v>72</v>
      </c>
      <c r="F527" s="21">
        <v>2040</v>
      </c>
    </row>
    <row r="528" spans="2:6" x14ac:dyDescent="0.25">
      <c r="B528" s="27" t="s">
        <v>9</v>
      </c>
      <c r="C528" s="19">
        <f>41172+(3*365)</f>
        <v>42267</v>
      </c>
      <c r="D528" s="18" t="s">
        <v>80</v>
      </c>
      <c r="E528" s="18" t="s">
        <v>63</v>
      </c>
      <c r="F528" s="21">
        <v>188</v>
      </c>
    </row>
    <row r="529" spans="2:6" x14ac:dyDescent="0.25">
      <c r="B529" s="27" t="s">
        <v>18</v>
      </c>
      <c r="C529" s="19">
        <f>40048+(3*365)</f>
        <v>41143</v>
      </c>
      <c r="D529" s="18" t="s">
        <v>71</v>
      </c>
      <c r="E529" s="18" t="s">
        <v>69</v>
      </c>
      <c r="F529" s="21">
        <v>1356</v>
      </c>
    </row>
    <row r="530" spans="2:6" x14ac:dyDescent="0.25">
      <c r="B530" s="27" t="s">
        <v>8</v>
      </c>
      <c r="C530" s="19">
        <f>40375+(3*365)</f>
        <v>41470</v>
      </c>
      <c r="D530" s="18" t="s">
        <v>81</v>
      </c>
      <c r="E530" s="18" t="s">
        <v>66</v>
      </c>
      <c r="F530" s="21">
        <v>1240</v>
      </c>
    </row>
    <row r="531" spans="2:6" x14ac:dyDescent="0.25">
      <c r="B531" s="27" t="s">
        <v>21</v>
      </c>
      <c r="C531" s="19">
        <f>40388+(3*365)</f>
        <v>41483</v>
      </c>
      <c r="D531" s="18" t="s">
        <v>58</v>
      </c>
      <c r="E531" s="18" t="s">
        <v>72</v>
      </c>
      <c r="F531" s="21">
        <v>664</v>
      </c>
    </row>
    <row r="532" spans="2:6" x14ac:dyDescent="0.25">
      <c r="B532" s="27" t="s">
        <v>8</v>
      </c>
      <c r="C532" s="19">
        <f>41233+(3*365)</f>
        <v>42328</v>
      </c>
      <c r="D532" s="18" t="s">
        <v>77</v>
      </c>
      <c r="E532" s="18" t="s">
        <v>66</v>
      </c>
      <c r="F532" s="21">
        <v>1360</v>
      </c>
    </row>
    <row r="533" spans="2:6" x14ac:dyDescent="0.25">
      <c r="B533" s="27" t="s">
        <v>21</v>
      </c>
      <c r="C533" s="19">
        <f>40396+(3*365)</f>
        <v>41491</v>
      </c>
      <c r="D533" s="18" t="s">
        <v>58</v>
      </c>
      <c r="E533" s="18" t="s">
        <v>72</v>
      </c>
      <c r="F533" s="21">
        <v>1608</v>
      </c>
    </row>
    <row r="534" spans="2:6" x14ac:dyDescent="0.25">
      <c r="B534" s="27" t="s">
        <v>9</v>
      </c>
      <c r="C534" s="19">
        <f>40886+(3*365)</f>
        <v>41981</v>
      </c>
      <c r="D534" s="18" t="s">
        <v>80</v>
      </c>
      <c r="E534" s="18" t="s">
        <v>64</v>
      </c>
      <c r="F534" s="21">
        <v>3360</v>
      </c>
    </row>
    <row r="535" spans="2:6" x14ac:dyDescent="0.25">
      <c r="B535" s="27" t="s">
        <v>10</v>
      </c>
      <c r="C535" s="19">
        <f>40764+(3*365)</f>
        <v>41859</v>
      </c>
      <c r="D535" s="18" t="s">
        <v>65</v>
      </c>
      <c r="E535" s="18" t="s">
        <v>63</v>
      </c>
      <c r="F535" s="21">
        <v>756</v>
      </c>
    </row>
    <row r="536" spans="2:6" x14ac:dyDescent="0.25">
      <c r="B536" s="27" t="s">
        <v>9</v>
      </c>
      <c r="C536" s="19">
        <f>40780+(3*365)</f>
        <v>41875</v>
      </c>
      <c r="D536" s="18" t="s">
        <v>80</v>
      </c>
      <c r="E536" s="18" t="s">
        <v>69</v>
      </c>
      <c r="F536" s="21">
        <v>1632</v>
      </c>
    </row>
    <row r="537" spans="2:6" x14ac:dyDescent="0.25">
      <c r="B537" s="27" t="s">
        <v>25</v>
      </c>
      <c r="C537" s="19">
        <f>40443+(3*365)</f>
        <v>41538</v>
      </c>
      <c r="D537" s="18" t="s">
        <v>79</v>
      </c>
      <c r="E537" s="18" t="s">
        <v>63</v>
      </c>
      <c r="F537" s="21">
        <v>486</v>
      </c>
    </row>
    <row r="538" spans="2:6" x14ac:dyDescent="0.25">
      <c r="B538" s="27" t="s">
        <v>18</v>
      </c>
      <c r="C538" s="19">
        <f>40100+(3*365)</f>
        <v>41195</v>
      </c>
      <c r="D538" s="18" t="s">
        <v>68</v>
      </c>
      <c r="E538" s="18" t="s">
        <v>72</v>
      </c>
      <c r="F538" s="21">
        <v>4698</v>
      </c>
    </row>
    <row r="539" spans="2:6" x14ac:dyDescent="0.25">
      <c r="B539" s="27" t="s">
        <v>8</v>
      </c>
      <c r="C539" s="19">
        <f>41133+(3*365)</f>
        <v>42228</v>
      </c>
      <c r="D539" s="18" t="s">
        <v>81</v>
      </c>
      <c r="E539" s="18" t="s">
        <v>72</v>
      </c>
      <c r="F539" s="21">
        <v>7924</v>
      </c>
    </row>
    <row r="540" spans="2:6" x14ac:dyDescent="0.25">
      <c r="B540" s="27" t="s">
        <v>21</v>
      </c>
      <c r="C540" s="19">
        <f>41103+(3*365)</f>
        <v>42198</v>
      </c>
      <c r="D540" s="18" t="s">
        <v>73</v>
      </c>
      <c r="E540" s="18" t="s">
        <v>64</v>
      </c>
      <c r="F540" s="21">
        <v>6216</v>
      </c>
    </row>
    <row r="541" spans="2:6" x14ac:dyDescent="0.25">
      <c r="B541" s="27" t="s">
        <v>21</v>
      </c>
      <c r="C541" s="19">
        <f>40648+(3*365)</f>
        <v>41743</v>
      </c>
      <c r="D541" s="18" t="s">
        <v>58</v>
      </c>
      <c r="E541" s="18" t="s">
        <v>63</v>
      </c>
      <c r="F541" s="21">
        <v>264</v>
      </c>
    </row>
    <row r="542" spans="2:6" x14ac:dyDescent="0.25">
      <c r="B542" s="27" t="s">
        <v>31</v>
      </c>
      <c r="C542" s="19">
        <f>40666+(3*365)</f>
        <v>41761</v>
      </c>
      <c r="D542" s="18" t="s">
        <v>76</v>
      </c>
      <c r="E542" s="18" t="s">
        <v>72</v>
      </c>
      <c r="F542" s="21">
        <v>2394</v>
      </c>
    </row>
    <row r="543" spans="2:6" x14ac:dyDescent="0.25">
      <c r="B543" s="27" t="s">
        <v>21</v>
      </c>
      <c r="C543" s="19">
        <f>40738+(3*365)</f>
        <v>41833</v>
      </c>
      <c r="D543" s="18" t="s">
        <v>58</v>
      </c>
      <c r="E543" s="18" t="s">
        <v>72</v>
      </c>
      <c r="F543" s="21">
        <v>1428</v>
      </c>
    </row>
    <row r="544" spans="2:6" x14ac:dyDescent="0.25">
      <c r="B544" s="27" t="s">
        <v>10</v>
      </c>
      <c r="C544" s="19">
        <f>40194+(3*365)</f>
        <v>41289</v>
      </c>
      <c r="D544" s="18" t="s">
        <v>67</v>
      </c>
      <c r="E544" s="18" t="s">
        <v>63</v>
      </c>
      <c r="F544" s="21">
        <v>516</v>
      </c>
    </row>
    <row r="545" spans="2:6" x14ac:dyDescent="0.25">
      <c r="B545" s="27" t="s">
        <v>8</v>
      </c>
      <c r="C545" s="19">
        <f>40459+(3*365)</f>
        <v>41554</v>
      </c>
      <c r="D545" s="18" t="s">
        <v>81</v>
      </c>
      <c r="E545" s="18" t="s">
        <v>66</v>
      </c>
      <c r="F545" s="21">
        <v>696</v>
      </c>
    </row>
    <row r="546" spans="2:6" x14ac:dyDescent="0.25">
      <c r="B546" s="27" t="s">
        <v>9</v>
      </c>
      <c r="C546" s="19">
        <f>40536+(3*365)</f>
        <v>41631</v>
      </c>
      <c r="D546" s="18" t="s">
        <v>62</v>
      </c>
      <c r="E546" s="18" t="s">
        <v>66</v>
      </c>
      <c r="F546" s="21">
        <v>560</v>
      </c>
    </row>
    <row r="547" spans="2:6" x14ac:dyDescent="0.25">
      <c r="B547" s="27" t="s">
        <v>9</v>
      </c>
      <c r="C547" s="19">
        <f>41109+(3*365)</f>
        <v>42204</v>
      </c>
      <c r="D547" s="18" t="s">
        <v>62</v>
      </c>
      <c r="E547" s="18" t="s">
        <v>63</v>
      </c>
      <c r="F547" s="21">
        <v>92</v>
      </c>
    </row>
    <row r="548" spans="2:6" x14ac:dyDescent="0.25">
      <c r="B548" s="27" t="s">
        <v>11</v>
      </c>
      <c r="C548" s="19">
        <f>40014+(3*365)</f>
        <v>41109</v>
      </c>
      <c r="D548" s="18" t="s">
        <v>74</v>
      </c>
      <c r="E548" s="18" t="s">
        <v>63</v>
      </c>
      <c r="F548" s="21">
        <v>252</v>
      </c>
    </row>
    <row r="549" spans="2:6" x14ac:dyDescent="0.25">
      <c r="B549" s="27" t="s">
        <v>18</v>
      </c>
      <c r="C549" s="19">
        <f>40906+(3*365)</f>
        <v>42001</v>
      </c>
      <c r="D549" s="18" t="s">
        <v>71</v>
      </c>
      <c r="E549" s="18" t="s">
        <v>69</v>
      </c>
      <c r="F549" s="21">
        <v>1368</v>
      </c>
    </row>
    <row r="550" spans="2:6" x14ac:dyDescent="0.25">
      <c r="B550" s="27" t="s">
        <v>9</v>
      </c>
      <c r="C550" s="19">
        <f>41014+(3*365)</f>
        <v>42109</v>
      </c>
      <c r="D550" s="18" t="s">
        <v>62</v>
      </c>
      <c r="E550" s="18" t="s">
        <v>69</v>
      </c>
      <c r="F550" s="21">
        <v>165</v>
      </c>
    </row>
    <row r="551" spans="2:6" x14ac:dyDescent="0.25">
      <c r="B551" s="27" t="s">
        <v>21</v>
      </c>
      <c r="C551" s="19">
        <f>40138+(3*365)</f>
        <v>41233</v>
      </c>
      <c r="D551" s="18" t="s">
        <v>58</v>
      </c>
      <c r="E551" s="18" t="s">
        <v>59</v>
      </c>
      <c r="F551" s="21">
        <v>203</v>
      </c>
    </row>
    <row r="552" spans="2:6" x14ac:dyDescent="0.25">
      <c r="B552" s="27" t="s">
        <v>9</v>
      </c>
      <c r="C552" s="19">
        <f>40544+(3*365)</f>
        <v>41639</v>
      </c>
      <c r="D552" s="18" t="s">
        <v>80</v>
      </c>
      <c r="E552" s="18" t="s">
        <v>63</v>
      </c>
      <c r="F552" s="21">
        <v>261</v>
      </c>
    </row>
    <row r="553" spans="2:6" x14ac:dyDescent="0.25">
      <c r="B553" s="27" t="s">
        <v>21</v>
      </c>
      <c r="C553" s="19">
        <f>39998+(3*365)</f>
        <v>41093</v>
      </c>
      <c r="D553" s="18" t="s">
        <v>58</v>
      </c>
      <c r="E553" s="18" t="s">
        <v>63</v>
      </c>
      <c r="F553" s="21">
        <v>378</v>
      </c>
    </row>
    <row r="554" spans="2:6" x14ac:dyDescent="0.25">
      <c r="B554" s="27" t="s">
        <v>31</v>
      </c>
      <c r="C554" s="19">
        <f>41174+(3*365)</f>
        <v>42269</v>
      </c>
      <c r="D554" s="18" t="s">
        <v>70</v>
      </c>
      <c r="E554" s="18" t="s">
        <v>69</v>
      </c>
      <c r="F554" s="21">
        <v>1806</v>
      </c>
    </row>
    <row r="555" spans="2:6" x14ac:dyDescent="0.25">
      <c r="B555" s="27" t="s">
        <v>25</v>
      </c>
      <c r="C555" s="19">
        <f>40256+(3*365)</f>
        <v>41351</v>
      </c>
      <c r="D555" s="18" t="s">
        <v>79</v>
      </c>
      <c r="E555" s="18" t="s">
        <v>64</v>
      </c>
      <c r="F555" s="21">
        <v>3972</v>
      </c>
    </row>
    <row r="556" spans="2:6" x14ac:dyDescent="0.25">
      <c r="B556" s="27" t="s">
        <v>11</v>
      </c>
      <c r="C556" s="19">
        <f>41135+(3*365)</f>
        <v>42230</v>
      </c>
      <c r="D556" s="18" t="s">
        <v>60</v>
      </c>
      <c r="E556" s="18" t="s">
        <v>75</v>
      </c>
      <c r="F556" s="21">
        <v>744</v>
      </c>
    </row>
    <row r="557" spans="2:6" x14ac:dyDescent="0.25">
      <c r="B557" s="27" t="s">
        <v>8</v>
      </c>
      <c r="C557" s="19">
        <f>40199+(3*365)</f>
        <v>41294</v>
      </c>
      <c r="D557" s="18" t="s">
        <v>81</v>
      </c>
      <c r="E557" s="18" t="s">
        <v>61</v>
      </c>
      <c r="F557" s="21">
        <v>1540</v>
      </c>
    </row>
    <row r="558" spans="2:6" x14ac:dyDescent="0.25">
      <c r="B558" s="27" t="s">
        <v>11</v>
      </c>
      <c r="C558" s="19">
        <f>40061+(3*365)</f>
        <v>41156</v>
      </c>
      <c r="D558" s="18" t="s">
        <v>60</v>
      </c>
      <c r="E558" s="18" t="s">
        <v>72</v>
      </c>
      <c r="F558" s="21">
        <v>2592</v>
      </c>
    </row>
    <row r="559" spans="2:6" x14ac:dyDescent="0.25">
      <c r="B559" s="27" t="s">
        <v>9</v>
      </c>
      <c r="C559" s="19">
        <f>40560+(3*365)</f>
        <v>41655</v>
      </c>
      <c r="D559" s="18" t="s">
        <v>62</v>
      </c>
      <c r="E559" s="18" t="s">
        <v>59</v>
      </c>
      <c r="F559" s="21">
        <v>234</v>
      </c>
    </row>
    <row r="560" spans="2:6" x14ac:dyDescent="0.25">
      <c r="B560" s="27" t="s">
        <v>9</v>
      </c>
      <c r="C560" s="19">
        <f>40582+(3*365)</f>
        <v>41677</v>
      </c>
      <c r="D560" s="18" t="s">
        <v>62</v>
      </c>
      <c r="E560" s="18" t="s">
        <v>63</v>
      </c>
      <c r="F560" s="21">
        <v>720</v>
      </c>
    </row>
    <row r="561" spans="2:6" x14ac:dyDescent="0.25">
      <c r="B561" s="27" t="s">
        <v>25</v>
      </c>
      <c r="C561" s="19">
        <f>40861+(3*365)</f>
        <v>41956</v>
      </c>
      <c r="D561" s="18" t="s">
        <v>78</v>
      </c>
      <c r="E561" s="18" t="s">
        <v>66</v>
      </c>
      <c r="F561" s="21">
        <v>296</v>
      </c>
    </row>
    <row r="562" spans="2:6" x14ac:dyDescent="0.25">
      <c r="B562" s="27" t="s">
        <v>31</v>
      </c>
      <c r="C562" s="19">
        <f>40346+(3*365)</f>
        <v>41441</v>
      </c>
      <c r="D562" s="18" t="s">
        <v>70</v>
      </c>
      <c r="E562" s="18" t="s">
        <v>66</v>
      </c>
      <c r="F562" s="21">
        <v>864</v>
      </c>
    </row>
    <row r="563" spans="2:6" x14ac:dyDescent="0.25">
      <c r="B563" s="27" t="s">
        <v>11</v>
      </c>
      <c r="C563" s="19">
        <f>40803+(3*365)</f>
        <v>41898</v>
      </c>
      <c r="D563" s="18" t="s">
        <v>60</v>
      </c>
      <c r="E563" s="18" t="s">
        <v>75</v>
      </c>
      <c r="F563" s="21">
        <v>330</v>
      </c>
    </row>
    <row r="564" spans="2:6" x14ac:dyDescent="0.25">
      <c r="B564" s="27" t="s">
        <v>25</v>
      </c>
      <c r="C564" s="19">
        <f>39887+(3*365)</f>
        <v>40982</v>
      </c>
      <c r="D564" s="18" t="s">
        <v>79</v>
      </c>
      <c r="E564" s="18" t="s">
        <v>64</v>
      </c>
      <c r="F564" s="21">
        <v>6246</v>
      </c>
    </row>
    <row r="565" spans="2:6" x14ac:dyDescent="0.25">
      <c r="B565" s="27" t="s">
        <v>8</v>
      </c>
      <c r="C565" s="19">
        <f>41198+(3*365)</f>
        <v>42293</v>
      </c>
      <c r="D565" s="18" t="s">
        <v>81</v>
      </c>
      <c r="E565" s="18" t="s">
        <v>59</v>
      </c>
      <c r="F565" s="21">
        <v>448</v>
      </c>
    </row>
    <row r="566" spans="2:6" x14ac:dyDescent="0.25">
      <c r="B566" s="27" t="s">
        <v>21</v>
      </c>
      <c r="C566" s="19">
        <f>40717+(3*365)</f>
        <v>41812</v>
      </c>
      <c r="D566" s="18" t="s">
        <v>73</v>
      </c>
      <c r="E566" s="18" t="s">
        <v>64</v>
      </c>
      <c r="F566" s="21">
        <v>1431</v>
      </c>
    </row>
    <row r="567" spans="2:6" x14ac:dyDescent="0.25">
      <c r="B567" s="27" t="s">
        <v>8</v>
      </c>
      <c r="C567" s="19">
        <f>40947+(3*365)</f>
        <v>42042</v>
      </c>
      <c r="D567" s="18" t="s">
        <v>77</v>
      </c>
      <c r="E567" s="18" t="s">
        <v>66</v>
      </c>
      <c r="F567" s="21">
        <v>1232</v>
      </c>
    </row>
    <row r="568" spans="2:6" x14ac:dyDescent="0.25">
      <c r="B568" s="27" t="s">
        <v>31</v>
      </c>
      <c r="C568" s="19">
        <f>41238+(3*365)</f>
        <v>42333</v>
      </c>
      <c r="D568" s="18" t="s">
        <v>76</v>
      </c>
      <c r="E568" s="18" t="s">
        <v>72</v>
      </c>
      <c r="F568" s="21">
        <v>1020</v>
      </c>
    </row>
    <row r="569" spans="2:6" x14ac:dyDescent="0.25">
      <c r="B569" s="27" t="s">
        <v>10</v>
      </c>
      <c r="C569" s="19">
        <f>40336+(3*365)</f>
        <v>41431</v>
      </c>
      <c r="D569" s="18" t="s">
        <v>65</v>
      </c>
      <c r="E569" s="18" t="s">
        <v>63</v>
      </c>
      <c r="F569" s="21">
        <v>1200</v>
      </c>
    </row>
    <row r="570" spans="2:6" x14ac:dyDescent="0.25">
      <c r="B570" s="27" t="s">
        <v>18</v>
      </c>
      <c r="C570" s="19">
        <f>39991+(3*365)</f>
        <v>41086</v>
      </c>
      <c r="D570" s="18" t="s">
        <v>68</v>
      </c>
      <c r="E570" s="18" t="s">
        <v>61</v>
      </c>
      <c r="F570" s="21">
        <v>444</v>
      </c>
    </row>
    <row r="571" spans="2:6" x14ac:dyDescent="0.25">
      <c r="B571" s="27" t="s">
        <v>11</v>
      </c>
      <c r="C571" s="19">
        <f>40532+(3*365)</f>
        <v>41627</v>
      </c>
      <c r="D571" s="18" t="s">
        <v>74</v>
      </c>
      <c r="E571" s="18" t="s">
        <v>75</v>
      </c>
      <c r="F571" s="21">
        <v>114</v>
      </c>
    </row>
    <row r="572" spans="2:6" x14ac:dyDescent="0.25">
      <c r="B572" s="27" t="s">
        <v>25</v>
      </c>
      <c r="C572" s="19">
        <f>41154+(3*365)</f>
        <v>42249</v>
      </c>
      <c r="D572" s="18" t="s">
        <v>78</v>
      </c>
      <c r="E572" s="18" t="s">
        <v>59</v>
      </c>
      <c r="F572" s="21">
        <v>352</v>
      </c>
    </row>
    <row r="573" spans="2:6" x14ac:dyDescent="0.25">
      <c r="B573" s="27" t="s">
        <v>10</v>
      </c>
      <c r="C573" s="19">
        <f>40658+(3*365)</f>
        <v>41753</v>
      </c>
      <c r="D573" s="18" t="s">
        <v>67</v>
      </c>
      <c r="E573" s="18" t="s">
        <v>75</v>
      </c>
      <c r="F573" s="21">
        <v>312</v>
      </c>
    </row>
    <row r="574" spans="2:6" x14ac:dyDescent="0.25">
      <c r="B574" s="27" t="s">
        <v>31</v>
      </c>
      <c r="C574" s="19">
        <f>40872+(3*365)</f>
        <v>41967</v>
      </c>
      <c r="D574" s="18" t="s">
        <v>76</v>
      </c>
      <c r="E574" s="18" t="s">
        <v>59</v>
      </c>
      <c r="F574" s="21">
        <v>315</v>
      </c>
    </row>
    <row r="575" spans="2:6" x14ac:dyDescent="0.25">
      <c r="B575" s="27" t="s">
        <v>21</v>
      </c>
      <c r="C575" s="19">
        <f>39888+(3*365)</f>
        <v>40983</v>
      </c>
      <c r="D575" s="18" t="s">
        <v>73</v>
      </c>
      <c r="E575" s="18" t="s">
        <v>66</v>
      </c>
      <c r="F575" s="21">
        <v>64</v>
      </c>
    </row>
    <row r="576" spans="2:6" x14ac:dyDescent="0.25">
      <c r="B576" s="27" t="s">
        <v>9</v>
      </c>
      <c r="C576" s="19">
        <f>40901+(3*365)</f>
        <v>41996</v>
      </c>
      <c r="D576" s="18" t="s">
        <v>80</v>
      </c>
      <c r="E576" s="18" t="s">
        <v>75</v>
      </c>
      <c r="F576" s="21">
        <v>114</v>
      </c>
    </row>
    <row r="577" spans="2:6" x14ac:dyDescent="0.25">
      <c r="B577" s="27" t="s">
        <v>9</v>
      </c>
      <c r="C577" s="19">
        <f>40153+(3*365)</f>
        <v>41248</v>
      </c>
      <c r="D577" s="18" t="s">
        <v>62</v>
      </c>
      <c r="E577" s="18" t="s">
        <v>75</v>
      </c>
      <c r="F577" s="21">
        <v>138</v>
      </c>
    </row>
    <row r="578" spans="2:6" x14ac:dyDescent="0.25">
      <c r="B578" s="27" t="s">
        <v>8</v>
      </c>
      <c r="C578" s="19">
        <f>40604+(3*365)</f>
        <v>41699</v>
      </c>
      <c r="D578" s="18" t="s">
        <v>81</v>
      </c>
      <c r="E578" s="18" t="s">
        <v>61</v>
      </c>
      <c r="F578" s="21">
        <v>896</v>
      </c>
    </row>
    <row r="579" spans="2:6" x14ac:dyDescent="0.25">
      <c r="B579" s="27" t="s">
        <v>11</v>
      </c>
      <c r="C579" s="19">
        <f>41235+(3*365)</f>
        <v>42330</v>
      </c>
      <c r="D579" s="18" t="s">
        <v>74</v>
      </c>
      <c r="E579" s="18" t="s">
        <v>63</v>
      </c>
      <c r="F579" s="21">
        <v>588</v>
      </c>
    </row>
    <row r="580" spans="2:6" x14ac:dyDescent="0.25">
      <c r="B580" s="27" t="s">
        <v>31</v>
      </c>
      <c r="C580" s="19">
        <f>40854+(3*365)</f>
        <v>41949</v>
      </c>
      <c r="D580" s="18" t="s">
        <v>70</v>
      </c>
      <c r="E580" s="18" t="s">
        <v>59</v>
      </c>
      <c r="F580" s="21">
        <v>168</v>
      </c>
    </row>
    <row r="581" spans="2:6" x14ac:dyDescent="0.25">
      <c r="B581" s="27" t="s">
        <v>9</v>
      </c>
      <c r="C581" s="19">
        <f>40959+(3*365)</f>
        <v>42054</v>
      </c>
      <c r="D581" s="18" t="s">
        <v>80</v>
      </c>
      <c r="E581" s="18" t="s">
        <v>64</v>
      </c>
      <c r="F581" s="21">
        <v>556</v>
      </c>
    </row>
    <row r="582" spans="2:6" x14ac:dyDescent="0.25">
      <c r="B582" s="27" t="s">
        <v>18</v>
      </c>
      <c r="C582" s="19">
        <f>39825+(3*365)</f>
        <v>40920</v>
      </c>
      <c r="D582" s="18" t="s">
        <v>68</v>
      </c>
      <c r="E582" s="18" t="s">
        <v>69</v>
      </c>
      <c r="F582" s="21">
        <v>1812</v>
      </c>
    </row>
    <row r="583" spans="2:6" x14ac:dyDescent="0.25">
      <c r="B583" s="27" t="s">
        <v>25</v>
      </c>
      <c r="C583" s="19">
        <f>40374+(3*365)</f>
        <v>41469</v>
      </c>
      <c r="D583" s="18" t="s">
        <v>79</v>
      </c>
      <c r="E583" s="18" t="s">
        <v>61</v>
      </c>
      <c r="F583" s="21">
        <v>600</v>
      </c>
    </row>
    <row r="584" spans="2:6" x14ac:dyDescent="0.25">
      <c r="B584" s="27" t="s">
        <v>9</v>
      </c>
      <c r="C584" s="19">
        <f>40039+(3*365)</f>
        <v>41134</v>
      </c>
      <c r="D584" s="18" t="s">
        <v>62</v>
      </c>
      <c r="E584" s="18" t="s">
        <v>69</v>
      </c>
      <c r="F584" s="21">
        <v>2660</v>
      </c>
    </row>
    <row r="585" spans="2:6" x14ac:dyDescent="0.25">
      <c r="B585" s="27" t="s">
        <v>18</v>
      </c>
      <c r="C585" s="19">
        <f>41064+(3*365)</f>
        <v>42159</v>
      </c>
      <c r="D585" s="18" t="s">
        <v>71</v>
      </c>
      <c r="E585" s="18" t="s">
        <v>63</v>
      </c>
      <c r="F585" s="21">
        <v>504</v>
      </c>
    </row>
    <row r="586" spans="2:6" x14ac:dyDescent="0.25">
      <c r="B586" s="27" t="s">
        <v>8</v>
      </c>
      <c r="C586" s="19">
        <f>40796+(3*365)</f>
        <v>41891</v>
      </c>
      <c r="D586" s="18" t="s">
        <v>81</v>
      </c>
      <c r="E586" s="18" t="s">
        <v>61</v>
      </c>
      <c r="F586" s="21">
        <v>1264</v>
      </c>
    </row>
    <row r="587" spans="2:6" x14ac:dyDescent="0.25">
      <c r="B587" s="27" t="s">
        <v>8</v>
      </c>
      <c r="C587" s="19">
        <f>41188+(3*365)</f>
        <v>42283</v>
      </c>
      <c r="D587" s="18" t="s">
        <v>77</v>
      </c>
      <c r="E587" s="18" t="s">
        <v>59</v>
      </c>
      <c r="F587" s="21">
        <v>1216</v>
      </c>
    </row>
    <row r="588" spans="2:6" x14ac:dyDescent="0.25">
      <c r="B588" s="27" t="s">
        <v>18</v>
      </c>
      <c r="C588" s="19">
        <f>40530+(3*365)</f>
        <v>41625</v>
      </c>
      <c r="D588" s="18" t="s">
        <v>68</v>
      </c>
      <c r="E588" s="18" t="s">
        <v>69</v>
      </c>
      <c r="F588" s="21">
        <v>1836</v>
      </c>
    </row>
    <row r="589" spans="2:6" x14ac:dyDescent="0.25">
      <c r="B589" s="27" t="s">
        <v>9</v>
      </c>
      <c r="C589" s="19">
        <f>41182+(3*365)</f>
        <v>42277</v>
      </c>
      <c r="D589" s="18" t="s">
        <v>80</v>
      </c>
      <c r="E589" s="18" t="s">
        <v>72</v>
      </c>
      <c r="F589" s="21">
        <v>861</v>
      </c>
    </row>
    <row r="590" spans="2:6" x14ac:dyDescent="0.25">
      <c r="B590" s="27" t="s">
        <v>10</v>
      </c>
      <c r="C590" s="19">
        <f>41020+(3*365)</f>
        <v>42115</v>
      </c>
      <c r="D590" s="18" t="s">
        <v>65</v>
      </c>
      <c r="E590" s="18" t="s">
        <v>63</v>
      </c>
      <c r="F590" s="21">
        <v>621</v>
      </c>
    </row>
    <row r="591" spans="2:6" x14ac:dyDescent="0.25">
      <c r="B591" s="27" t="s">
        <v>18</v>
      </c>
      <c r="C591" s="19">
        <f>40697+(3*365)</f>
        <v>41792</v>
      </c>
      <c r="D591" s="18" t="s">
        <v>71</v>
      </c>
      <c r="E591" s="18" t="s">
        <v>64</v>
      </c>
      <c r="F591" s="21">
        <v>14784</v>
      </c>
    </row>
    <row r="592" spans="2:6" x14ac:dyDescent="0.25">
      <c r="B592" s="27" t="s">
        <v>25</v>
      </c>
      <c r="C592" s="19">
        <f>40136+(3*365)</f>
        <v>41231</v>
      </c>
      <c r="D592" s="18" t="s">
        <v>79</v>
      </c>
      <c r="E592" s="18" t="s">
        <v>61</v>
      </c>
      <c r="F592" s="21">
        <v>80</v>
      </c>
    </row>
    <row r="593" spans="2:6" x14ac:dyDescent="0.25">
      <c r="B593" s="27" t="s">
        <v>21</v>
      </c>
      <c r="C593" s="19">
        <f>41068+(3*365)</f>
        <v>42163</v>
      </c>
      <c r="D593" s="18" t="s">
        <v>73</v>
      </c>
      <c r="E593" s="18" t="s">
        <v>61</v>
      </c>
      <c r="F593" s="21">
        <v>448</v>
      </c>
    </row>
    <row r="594" spans="2:6" x14ac:dyDescent="0.25">
      <c r="B594" s="27" t="s">
        <v>18</v>
      </c>
      <c r="C594" s="19">
        <f>39930+(3*365)</f>
        <v>41025</v>
      </c>
      <c r="D594" s="18" t="s">
        <v>71</v>
      </c>
      <c r="E594" s="18" t="s">
        <v>75</v>
      </c>
      <c r="F594" s="21">
        <v>336</v>
      </c>
    </row>
    <row r="595" spans="2:6" x14ac:dyDescent="0.25">
      <c r="B595" s="27" t="s">
        <v>9</v>
      </c>
      <c r="C595" s="19">
        <f>40887+(3*365)</f>
        <v>41982</v>
      </c>
      <c r="D595" s="18" t="s">
        <v>62</v>
      </c>
      <c r="E595" s="18" t="s">
        <v>61</v>
      </c>
      <c r="F595" s="21">
        <v>1029</v>
      </c>
    </row>
    <row r="596" spans="2:6" x14ac:dyDescent="0.25">
      <c r="B596" s="27" t="s">
        <v>18</v>
      </c>
      <c r="C596" s="19">
        <f>40192+(3*365)</f>
        <v>41287</v>
      </c>
      <c r="D596" s="18" t="s">
        <v>68</v>
      </c>
      <c r="E596" s="18" t="s">
        <v>59</v>
      </c>
      <c r="F596" s="21">
        <v>540</v>
      </c>
    </row>
    <row r="597" spans="2:6" x14ac:dyDescent="0.25">
      <c r="B597" s="27" t="s">
        <v>9</v>
      </c>
      <c r="C597" s="19">
        <f>40621+(3*365)</f>
        <v>41716</v>
      </c>
      <c r="D597" s="18" t="s">
        <v>80</v>
      </c>
      <c r="E597" s="18" t="s">
        <v>59</v>
      </c>
      <c r="F597" s="21">
        <v>78</v>
      </c>
    </row>
    <row r="598" spans="2:6" x14ac:dyDescent="0.25">
      <c r="B598" s="27" t="s">
        <v>8</v>
      </c>
      <c r="C598" s="19">
        <f>40112+(3*365)</f>
        <v>41207</v>
      </c>
      <c r="D598" s="18" t="s">
        <v>81</v>
      </c>
      <c r="E598" s="18" t="s">
        <v>75</v>
      </c>
      <c r="F598" s="21">
        <v>180</v>
      </c>
    </row>
    <row r="599" spans="2:6" x14ac:dyDescent="0.25">
      <c r="B599" s="27" t="s">
        <v>21</v>
      </c>
      <c r="C599" s="19">
        <f>39898+(3*365)</f>
        <v>40993</v>
      </c>
      <c r="D599" s="18" t="s">
        <v>73</v>
      </c>
      <c r="E599" s="18" t="s">
        <v>63</v>
      </c>
      <c r="F599" s="21">
        <v>432</v>
      </c>
    </row>
    <row r="600" spans="2:6" x14ac:dyDescent="0.25">
      <c r="B600" s="27" t="s">
        <v>11</v>
      </c>
      <c r="C600" s="19">
        <f>40717+(3*365)</f>
        <v>41812</v>
      </c>
      <c r="D600" s="18" t="s">
        <v>60</v>
      </c>
      <c r="E600" s="18" t="s">
        <v>66</v>
      </c>
      <c r="F600" s="21">
        <v>1584</v>
      </c>
    </row>
    <row r="601" spans="2:6" x14ac:dyDescent="0.25">
      <c r="B601" s="27" t="s">
        <v>8</v>
      </c>
      <c r="C601" s="19">
        <f>41268+(3*365)</f>
        <v>42363</v>
      </c>
      <c r="D601" s="18" t="s">
        <v>81</v>
      </c>
      <c r="E601" s="18" t="s">
        <v>59</v>
      </c>
      <c r="F601" s="21">
        <v>152</v>
      </c>
    </row>
    <row r="602" spans="2:6" x14ac:dyDescent="0.25">
      <c r="B602" s="27" t="s">
        <v>8</v>
      </c>
      <c r="C602" s="19">
        <f>41213+(3*365)</f>
        <v>42308</v>
      </c>
      <c r="D602" s="18" t="s">
        <v>77</v>
      </c>
      <c r="E602" s="18" t="s">
        <v>64</v>
      </c>
      <c r="F602" s="21">
        <v>13608</v>
      </c>
    </row>
    <row r="603" spans="2:6" x14ac:dyDescent="0.25">
      <c r="B603" s="27" t="s">
        <v>25</v>
      </c>
      <c r="C603" s="19">
        <f>39850+(3*365)</f>
        <v>40945</v>
      </c>
      <c r="D603" s="18" t="s">
        <v>79</v>
      </c>
      <c r="E603" s="18" t="s">
        <v>61</v>
      </c>
      <c r="F603" s="21">
        <v>960</v>
      </c>
    </row>
    <row r="604" spans="2:6" x14ac:dyDescent="0.25">
      <c r="B604" s="27" t="s">
        <v>25</v>
      </c>
      <c r="C604" s="19">
        <f>40834+(3*365)</f>
        <v>41929</v>
      </c>
      <c r="D604" s="18" t="s">
        <v>78</v>
      </c>
      <c r="E604" s="18" t="s">
        <v>63</v>
      </c>
      <c r="F604" s="21">
        <v>1032</v>
      </c>
    </row>
    <row r="605" spans="2:6" x14ac:dyDescent="0.25">
      <c r="B605" s="27" t="s">
        <v>25</v>
      </c>
      <c r="C605" s="19">
        <f>40741+(3*365)</f>
        <v>41836</v>
      </c>
      <c r="D605" s="18" t="s">
        <v>79</v>
      </c>
      <c r="E605" s="18" t="s">
        <v>69</v>
      </c>
      <c r="F605" s="21">
        <v>1736</v>
      </c>
    </row>
    <row r="606" spans="2:6" x14ac:dyDescent="0.25">
      <c r="B606" s="18" t="s">
        <v>21</v>
      </c>
      <c r="C606" s="19">
        <f>40656+(3*365)</f>
        <v>41751</v>
      </c>
      <c r="D606" s="18" t="s">
        <v>58</v>
      </c>
      <c r="E606" s="18" t="s">
        <v>59</v>
      </c>
      <c r="F606" s="21">
        <v>216</v>
      </c>
    </row>
    <row r="607" spans="2:6" x14ac:dyDescent="0.25">
      <c r="B607" s="18" t="s">
        <v>31</v>
      </c>
      <c r="C607" s="19">
        <f>41141+(3*365)</f>
        <v>42236</v>
      </c>
      <c r="D607" s="18" t="s">
        <v>76</v>
      </c>
      <c r="E607" s="18" t="s">
        <v>75</v>
      </c>
      <c r="F607" s="21">
        <v>756</v>
      </c>
    </row>
    <row r="608" spans="2:6" x14ac:dyDescent="0.25">
      <c r="B608" s="18" t="s">
        <v>9</v>
      </c>
      <c r="C608" s="19">
        <f>39965+(3*365)</f>
        <v>41060</v>
      </c>
      <c r="D608" s="18" t="s">
        <v>80</v>
      </c>
      <c r="E608" s="18" t="s">
        <v>59</v>
      </c>
      <c r="F608" s="21">
        <v>216</v>
      </c>
    </row>
    <row r="609" spans="2:6" x14ac:dyDescent="0.25">
      <c r="B609" s="18" t="s">
        <v>9</v>
      </c>
      <c r="C609" s="19">
        <f>40239+(3*365)</f>
        <v>41334</v>
      </c>
      <c r="D609" s="18" t="s">
        <v>62</v>
      </c>
      <c r="E609" s="18" t="s">
        <v>63</v>
      </c>
      <c r="F609" s="21">
        <v>588</v>
      </c>
    </row>
    <row r="610" spans="2:6" x14ac:dyDescent="0.25">
      <c r="B610" s="18" t="s">
        <v>21</v>
      </c>
      <c r="C610" s="19">
        <f>41235+(3*365)</f>
        <v>42330</v>
      </c>
      <c r="D610" s="18" t="s">
        <v>58</v>
      </c>
      <c r="E610" s="18" t="s">
        <v>72</v>
      </c>
      <c r="F610" s="21">
        <v>2144</v>
      </c>
    </row>
    <row r="611" spans="2:6" x14ac:dyDescent="0.25">
      <c r="B611" s="18" t="s">
        <v>31</v>
      </c>
      <c r="C611" s="19">
        <f>40059+(3*365)</f>
        <v>41154</v>
      </c>
      <c r="D611" s="18" t="s">
        <v>76</v>
      </c>
      <c r="E611" s="18" t="s">
        <v>72</v>
      </c>
      <c r="F611" s="21">
        <v>1638</v>
      </c>
    </row>
    <row r="612" spans="2:6" x14ac:dyDescent="0.25">
      <c r="B612" s="18" t="s">
        <v>8</v>
      </c>
      <c r="C612" s="19">
        <f>39898+(3*365)</f>
        <v>40993</v>
      </c>
      <c r="D612" s="18" t="s">
        <v>81</v>
      </c>
      <c r="E612" s="18" t="s">
        <v>59</v>
      </c>
      <c r="F612" s="21">
        <v>255</v>
      </c>
    </row>
    <row r="613" spans="2:6" x14ac:dyDescent="0.25">
      <c r="B613" s="18" t="s">
        <v>18</v>
      </c>
      <c r="C613" s="19">
        <f>41114+(3*365)</f>
        <v>42209</v>
      </c>
      <c r="D613" s="18" t="s">
        <v>68</v>
      </c>
      <c r="E613" s="18" t="s">
        <v>66</v>
      </c>
      <c r="F613" s="21">
        <v>1512</v>
      </c>
    </row>
    <row r="614" spans="2:6" x14ac:dyDescent="0.25">
      <c r="B614" s="18" t="s">
        <v>10</v>
      </c>
      <c r="C614" s="19">
        <f>40235+(3*365)</f>
        <v>41330</v>
      </c>
      <c r="D614" s="18" t="s">
        <v>67</v>
      </c>
      <c r="E614" s="18" t="s">
        <v>61</v>
      </c>
      <c r="F614" s="21">
        <v>1539</v>
      </c>
    </row>
    <row r="615" spans="2:6" x14ac:dyDescent="0.25">
      <c r="B615" s="18" t="s">
        <v>10</v>
      </c>
      <c r="C615" s="19">
        <f>41259+(3*365)</f>
        <v>42354</v>
      </c>
      <c r="D615" s="18" t="s">
        <v>65</v>
      </c>
      <c r="E615" s="18" t="s">
        <v>75</v>
      </c>
      <c r="F615" s="21">
        <v>210</v>
      </c>
    </row>
    <row r="616" spans="2:6" x14ac:dyDescent="0.25">
      <c r="B616" s="18" t="s">
        <v>31</v>
      </c>
      <c r="C616" s="19">
        <f>41013+(3*365)</f>
        <v>42108</v>
      </c>
      <c r="D616" s="18" t="s">
        <v>76</v>
      </c>
      <c r="E616" s="18" t="s">
        <v>59</v>
      </c>
      <c r="F616" s="21">
        <v>72</v>
      </c>
    </row>
    <row r="617" spans="2:6" x14ac:dyDescent="0.25">
      <c r="B617" s="18" t="s">
        <v>11</v>
      </c>
      <c r="C617" s="19">
        <f>40955+(3*365)</f>
        <v>42050</v>
      </c>
      <c r="D617" s="18" t="s">
        <v>74</v>
      </c>
      <c r="E617" s="18" t="s">
        <v>64</v>
      </c>
      <c r="F617" s="21">
        <v>12000</v>
      </c>
    </row>
    <row r="618" spans="2:6" x14ac:dyDescent="0.25">
      <c r="B618" s="18" t="s">
        <v>18</v>
      </c>
      <c r="C618" s="19">
        <f>39841+(3*365)</f>
        <v>40936</v>
      </c>
      <c r="D618" s="18" t="s">
        <v>68</v>
      </c>
      <c r="E618" s="18" t="s">
        <v>72</v>
      </c>
      <c r="F618" s="21">
        <v>4432</v>
      </c>
    </row>
    <row r="619" spans="2:6" x14ac:dyDescent="0.25">
      <c r="B619" s="18" t="s">
        <v>25</v>
      </c>
      <c r="C619" s="19">
        <f>40039+(3*365)</f>
        <v>41134</v>
      </c>
      <c r="D619" s="18" t="s">
        <v>78</v>
      </c>
      <c r="E619" s="18" t="s">
        <v>69</v>
      </c>
      <c r="F619" s="21">
        <v>1260</v>
      </c>
    </row>
    <row r="620" spans="2:6" x14ac:dyDescent="0.25">
      <c r="B620" s="18" t="s">
        <v>11</v>
      </c>
      <c r="C620" s="19">
        <f>40256+(3*365)</f>
        <v>41351</v>
      </c>
      <c r="D620" s="18" t="s">
        <v>60</v>
      </c>
      <c r="E620" s="18" t="s">
        <v>63</v>
      </c>
      <c r="F620" s="21">
        <v>477</v>
      </c>
    </row>
    <row r="621" spans="2:6" x14ac:dyDescent="0.25">
      <c r="B621" s="18" t="s">
        <v>25</v>
      </c>
      <c r="C621" s="19">
        <f>39987+(3*365)</f>
        <v>41082</v>
      </c>
      <c r="D621" s="18" t="s">
        <v>78</v>
      </c>
      <c r="E621" s="18" t="s">
        <v>66</v>
      </c>
      <c r="F621" s="21">
        <v>720</v>
      </c>
    </row>
    <row r="622" spans="2:6" x14ac:dyDescent="0.25">
      <c r="B622" s="18" t="s">
        <v>21</v>
      </c>
      <c r="C622" s="19">
        <f>40224+(3*365)</f>
        <v>41319</v>
      </c>
      <c r="D622" s="18" t="s">
        <v>58</v>
      </c>
      <c r="E622" s="18" t="s">
        <v>61</v>
      </c>
      <c r="F622" s="21">
        <v>450</v>
      </c>
    </row>
    <row r="623" spans="2:6" x14ac:dyDescent="0.25">
      <c r="B623" s="18" t="s">
        <v>10</v>
      </c>
      <c r="C623" s="19">
        <f>40700+(3*365)</f>
        <v>41795</v>
      </c>
      <c r="D623" s="18" t="s">
        <v>65</v>
      </c>
      <c r="E623" s="18" t="s">
        <v>72</v>
      </c>
      <c r="F623" s="21">
        <v>1620</v>
      </c>
    </row>
    <row r="624" spans="2:6" x14ac:dyDescent="0.25">
      <c r="B624" s="18" t="s">
        <v>21</v>
      </c>
      <c r="C624" s="19">
        <f>39977+(3*365)</f>
        <v>41072</v>
      </c>
      <c r="D624" s="18" t="s">
        <v>58</v>
      </c>
      <c r="E624" s="18" t="s">
        <v>66</v>
      </c>
      <c r="F624" s="21">
        <v>80</v>
      </c>
    </row>
    <row r="625" spans="2:6" x14ac:dyDescent="0.25">
      <c r="B625" s="18" t="s">
        <v>25</v>
      </c>
      <c r="C625" s="19">
        <f>40608+(3*365)</f>
        <v>41703</v>
      </c>
      <c r="D625" s="18" t="s">
        <v>79</v>
      </c>
      <c r="E625" s="18" t="s">
        <v>69</v>
      </c>
      <c r="F625" s="21">
        <v>1992</v>
      </c>
    </row>
    <row r="626" spans="2:6" x14ac:dyDescent="0.25">
      <c r="B626" s="18" t="s">
        <v>25</v>
      </c>
      <c r="C626" s="19">
        <f>40925+(3*365)</f>
        <v>42020</v>
      </c>
      <c r="D626" s="18" t="s">
        <v>79</v>
      </c>
      <c r="E626" s="18" t="s">
        <v>69</v>
      </c>
      <c r="F626" s="21">
        <v>390</v>
      </c>
    </row>
    <row r="627" spans="2:6" x14ac:dyDescent="0.25">
      <c r="B627" s="18" t="s">
        <v>25</v>
      </c>
      <c r="C627" s="19">
        <f>40179+(3*365)</f>
        <v>41274</v>
      </c>
      <c r="D627" s="18" t="s">
        <v>78</v>
      </c>
      <c r="E627" s="18" t="s">
        <v>64</v>
      </c>
      <c r="F627" s="21">
        <v>6228</v>
      </c>
    </row>
    <row r="628" spans="2:6" x14ac:dyDescent="0.25">
      <c r="B628" s="18" t="s">
        <v>10</v>
      </c>
      <c r="C628" s="19">
        <f>40799+(3*365)</f>
        <v>41894</v>
      </c>
      <c r="D628" s="18" t="s">
        <v>65</v>
      </c>
      <c r="E628" s="18" t="s">
        <v>61</v>
      </c>
      <c r="F628" s="21">
        <v>114</v>
      </c>
    </row>
    <row r="629" spans="2:6" x14ac:dyDescent="0.25">
      <c r="B629" s="18" t="s">
        <v>21</v>
      </c>
      <c r="C629" s="19">
        <f>41179+(3*365)</f>
        <v>42274</v>
      </c>
      <c r="D629" s="18" t="s">
        <v>73</v>
      </c>
      <c r="E629" s="18" t="s">
        <v>61</v>
      </c>
      <c r="F629" s="21">
        <v>2072</v>
      </c>
    </row>
    <row r="630" spans="2:6" x14ac:dyDescent="0.25">
      <c r="B630" s="18" t="s">
        <v>18</v>
      </c>
      <c r="C630" s="19">
        <f>40714+(3*365)</f>
        <v>41809</v>
      </c>
      <c r="D630" s="18" t="s">
        <v>68</v>
      </c>
      <c r="E630" s="18" t="s">
        <v>64</v>
      </c>
      <c r="F630" s="21">
        <v>8136</v>
      </c>
    </row>
    <row r="631" spans="2:6" x14ac:dyDescent="0.25">
      <c r="B631" s="18" t="s">
        <v>25</v>
      </c>
      <c r="C631" s="19">
        <f>40459+(3*365)</f>
        <v>41554</v>
      </c>
      <c r="D631" s="18" t="s">
        <v>78</v>
      </c>
      <c r="E631" s="18" t="s">
        <v>64</v>
      </c>
      <c r="F631" s="21">
        <v>18927</v>
      </c>
    </row>
    <row r="632" spans="2:6" x14ac:dyDescent="0.25">
      <c r="B632" s="18" t="s">
        <v>31</v>
      </c>
      <c r="C632" s="19">
        <f>40154+(3*365)</f>
        <v>41249</v>
      </c>
      <c r="D632" s="18" t="s">
        <v>76</v>
      </c>
      <c r="E632" s="18" t="s">
        <v>75</v>
      </c>
      <c r="F632" s="21">
        <v>270</v>
      </c>
    </row>
    <row r="633" spans="2:6" x14ac:dyDescent="0.25">
      <c r="B633" s="18" t="s">
        <v>21</v>
      </c>
      <c r="C633" s="19">
        <f>40473+(3*365)</f>
        <v>41568</v>
      </c>
      <c r="D633" s="18" t="s">
        <v>73</v>
      </c>
      <c r="E633" s="18" t="s">
        <v>75</v>
      </c>
      <c r="F633" s="21">
        <v>312</v>
      </c>
    </row>
    <row r="634" spans="2:6" x14ac:dyDescent="0.25">
      <c r="B634" s="18" t="s">
        <v>18</v>
      </c>
      <c r="C634" s="19">
        <f>40375+(3*365)</f>
        <v>41470</v>
      </c>
      <c r="D634" s="18" t="s">
        <v>68</v>
      </c>
      <c r="E634" s="18" t="s">
        <v>59</v>
      </c>
      <c r="F634" s="21">
        <v>300</v>
      </c>
    </row>
    <row r="635" spans="2:6" x14ac:dyDescent="0.25">
      <c r="B635" s="18" t="s">
        <v>31</v>
      </c>
      <c r="C635" s="19">
        <f>40642+(3*365)</f>
        <v>41737</v>
      </c>
      <c r="D635" s="18" t="s">
        <v>76</v>
      </c>
      <c r="E635" s="18" t="s">
        <v>61</v>
      </c>
      <c r="F635" s="21">
        <v>384</v>
      </c>
    </row>
    <row r="636" spans="2:6" x14ac:dyDescent="0.25">
      <c r="B636" s="18" t="s">
        <v>11</v>
      </c>
      <c r="C636" s="19">
        <f>41266+(3*365)</f>
        <v>42361</v>
      </c>
      <c r="D636" s="18" t="s">
        <v>60</v>
      </c>
      <c r="E636" s="18" t="s">
        <v>59</v>
      </c>
      <c r="F636" s="21">
        <v>552</v>
      </c>
    </row>
    <row r="637" spans="2:6" x14ac:dyDescent="0.25">
      <c r="B637" s="18" t="s">
        <v>31</v>
      </c>
      <c r="C637" s="19">
        <f>40438+(3*365)</f>
        <v>41533</v>
      </c>
      <c r="D637" s="18" t="s">
        <v>76</v>
      </c>
      <c r="E637" s="18" t="s">
        <v>66</v>
      </c>
      <c r="F637" s="21">
        <v>234</v>
      </c>
    </row>
    <row r="638" spans="2:6" x14ac:dyDescent="0.25">
      <c r="B638" s="18" t="s">
        <v>18</v>
      </c>
      <c r="C638" s="19">
        <f>40093+(3*365)</f>
        <v>41188</v>
      </c>
      <c r="D638" s="18" t="s">
        <v>71</v>
      </c>
      <c r="E638" s="18" t="s">
        <v>63</v>
      </c>
      <c r="F638" s="21">
        <v>336</v>
      </c>
    </row>
    <row r="639" spans="2:6" x14ac:dyDescent="0.25">
      <c r="B639" s="18" t="s">
        <v>10</v>
      </c>
      <c r="C639" s="19">
        <f>40274+(3*365)</f>
        <v>41369</v>
      </c>
      <c r="D639" s="18" t="s">
        <v>67</v>
      </c>
      <c r="E639" s="18" t="s">
        <v>75</v>
      </c>
      <c r="F639" s="21">
        <v>837</v>
      </c>
    </row>
    <row r="640" spans="2:6" x14ac:dyDescent="0.25">
      <c r="B640" s="18" t="s">
        <v>21</v>
      </c>
      <c r="C640" s="19">
        <f>39898+(3*365)</f>
        <v>40993</v>
      </c>
      <c r="D640" s="18" t="s">
        <v>73</v>
      </c>
      <c r="E640" s="18" t="s">
        <v>61</v>
      </c>
      <c r="F640" s="21">
        <v>378</v>
      </c>
    </row>
    <row r="641" spans="2:6" x14ac:dyDescent="0.25">
      <c r="B641" s="18" t="s">
        <v>10</v>
      </c>
      <c r="C641" s="19">
        <f>40493+(3*365)</f>
        <v>41588</v>
      </c>
      <c r="D641" s="18" t="s">
        <v>67</v>
      </c>
      <c r="E641" s="18" t="s">
        <v>59</v>
      </c>
      <c r="F641" s="21">
        <v>540</v>
      </c>
    </row>
    <row r="642" spans="2:6" x14ac:dyDescent="0.25">
      <c r="B642" s="18" t="s">
        <v>11</v>
      </c>
      <c r="C642" s="19">
        <f>40953+(3*365)</f>
        <v>42048</v>
      </c>
      <c r="D642" s="18" t="s">
        <v>74</v>
      </c>
      <c r="E642" s="18" t="s">
        <v>61</v>
      </c>
      <c r="F642" s="21">
        <v>780</v>
      </c>
    </row>
    <row r="643" spans="2:6" x14ac:dyDescent="0.25">
      <c r="B643" s="18" t="s">
        <v>25</v>
      </c>
      <c r="C643" s="19">
        <f>40242+(3*365)</f>
        <v>41337</v>
      </c>
      <c r="D643" s="18" t="s">
        <v>79</v>
      </c>
      <c r="E643" s="18" t="s">
        <v>75</v>
      </c>
      <c r="F643" s="21">
        <v>60</v>
      </c>
    </row>
    <row r="644" spans="2:6" x14ac:dyDescent="0.25">
      <c r="B644" s="18" t="s">
        <v>11</v>
      </c>
      <c r="C644" s="19">
        <f>40155+(3*365)</f>
        <v>41250</v>
      </c>
      <c r="D644" s="18" t="s">
        <v>60</v>
      </c>
      <c r="E644" s="18" t="s">
        <v>63</v>
      </c>
      <c r="F644" s="21">
        <v>1200</v>
      </c>
    </row>
    <row r="645" spans="2:6" x14ac:dyDescent="0.25">
      <c r="B645" s="18" t="s">
        <v>21</v>
      </c>
      <c r="C645" s="19">
        <f>40721+(3*365)</f>
        <v>41816</v>
      </c>
      <c r="D645" s="18" t="s">
        <v>58</v>
      </c>
      <c r="E645" s="18" t="s">
        <v>63</v>
      </c>
      <c r="F645" s="21">
        <v>60</v>
      </c>
    </row>
    <row r="646" spans="2:6" x14ac:dyDescent="0.25">
      <c r="B646" s="18" t="s">
        <v>18</v>
      </c>
      <c r="C646" s="19">
        <f>40545+(3*365)</f>
        <v>41640</v>
      </c>
      <c r="D646" s="18" t="s">
        <v>71</v>
      </c>
      <c r="E646" s="18" t="s">
        <v>69</v>
      </c>
      <c r="F646" s="21">
        <v>1800</v>
      </c>
    </row>
    <row r="647" spans="2:6" x14ac:dyDescent="0.25">
      <c r="B647" s="18" t="s">
        <v>31</v>
      </c>
      <c r="C647" s="19">
        <f>40994+(3*365)</f>
        <v>42089</v>
      </c>
      <c r="D647" s="18" t="s">
        <v>70</v>
      </c>
      <c r="E647" s="18" t="s">
        <v>69</v>
      </c>
      <c r="F647" s="21">
        <v>636</v>
      </c>
    </row>
    <row r="648" spans="2:6" x14ac:dyDescent="0.25">
      <c r="B648" s="18" t="s">
        <v>10</v>
      </c>
      <c r="C648" s="19">
        <f>39911+(3*365)</f>
        <v>41006</v>
      </c>
      <c r="D648" s="18" t="s">
        <v>67</v>
      </c>
      <c r="E648" s="18" t="s">
        <v>64</v>
      </c>
      <c r="F648" s="21">
        <v>14680</v>
      </c>
    </row>
    <row r="649" spans="2:6" x14ac:dyDescent="0.25">
      <c r="B649" s="18" t="s">
        <v>21</v>
      </c>
      <c r="C649" s="19">
        <f>40741+(3*365)</f>
        <v>41836</v>
      </c>
      <c r="D649" s="18" t="s">
        <v>58</v>
      </c>
      <c r="E649" s="18" t="s">
        <v>75</v>
      </c>
      <c r="F649" s="21">
        <v>90</v>
      </c>
    </row>
    <row r="650" spans="2:6" x14ac:dyDescent="0.25">
      <c r="B650" s="18" t="s">
        <v>25</v>
      </c>
      <c r="C650" s="19">
        <f>40259+(3*365)</f>
        <v>41354</v>
      </c>
      <c r="D650" s="18" t="s">
        <v>78</v>
      </c>
      <c r="E650" s="18" t="s">
        <v>72</v>
      </c>
      <c r="F650" s="21">
        <v>4266</v>
      </c>
    </row>
    <row r="651" spans="2:6" x14ac:dyDescent="0.25">
      <c r="B651" s="18" t="s">
        <v>8</v>
      </c>
      <c r="C651" s="19">
        <f>40994+(3*365)</f>
        <v>42089</v>
      </c>
      <c r="D651" s="18" t="s">
        <v>77</v>
      </c>
      <c r="E651" s="18" t="s">
        <v>66</v>
      </c>
      <c r="F651" s="21">
        <v>2464</v>
      </c>
    </row>
    <row r="652" spans="2:6" x14ac:dyDescent="0.25">
      <c r="B652" s="18" t="s">
        <v>31</v>
      </c>
      <c r="C652" s="19">
        <f>40556+(3*365)</f>
        <v>41651</v>
      </c>
      <c r="D652" s="18" t="s">
        <v>76</v>
      </c>
      <c r="E652" s="18" t="s">
        <v>75</v>
      </c>
      <c r="F652" s="21">
        <v>1053</v>
      </c>
    </row>
    <row r="653" spans="2:6" x14ac:dyDescent="0.25">
      <c r="B653" s="18" t="s">
        <v>10</v>
      </c>
      <c r="C653" s="19">
        <f>40021+(3*365)</f>
        <v>41116</v>
      </c>
      <c r="D653" s="18" t="s">
        <v>67</v>
      </c>
      <c r="E653" s="18" t="s">
        <v>61</v>
      </c>
      <c r="F653" s="21">
        <v>1708</v>
      </c>
    </row>
    <row r="654" spans="2:6" x14ac:dyDescent="0.25">
      <c r="B654" s="18" t="s">
        <v>31</v>
      </c>
      <c r="C654" s="19">
        <f>41181+(3*365)</f>
        <v>42276</v>
      </c>
      <c r="D654" s="18" t="s">
        <v>76</v>
      </c>
      <c r="E654" s="18" t="s">
        <v>72</v>
      </c>
      <c r="F654" s="21">
        <v>765</v>
      </c>
    </row>
    <row r="655" spans="2:6" x14ac:dyDescent="0.25">
      <c r="B655" s="18" t="s">
        <v>21</v>
      </c>
      <c r="C655" s="19">
        <f>40992+(3*365)</f>
        <v>42087</v>
      </c>
      <c r="D655" s="18" t="s">
        <v>58</v>
      </c>
      <c r="E655" s="18" t="s">
        <v>63</v>
      </c>
      <c r="F655" s="21">
        <v>704</v>
      </c>
    </row>
    <row r="656" spans="2:6" x14ac:dyDescent="0.25">
      <c r="B656" s="18" t="s">
        <v>8</v>
      </c>
      <c r="C656" s="19">
        <f>40238+(3*365)</f>
        <v>41333</v>
      </c>
      <c r="D656" s="18" t="s">
        <v>77</v>
      </c>
      <c r="E656" s="18" t="s">
        <v>59</v>
      </c>
      <c r="F656" s="21">
        <v>368</v>
      </c>
    </row>
    <row r="657" spans="2:6" x14ac:dyDescent="0.25">
      <c r="B657" s="18" t="s">
        <v>10</v>
      </c>
      <c r="C657" s="19">
        <f>41080+(3*365)</f>
        <v>42175</v>
      </c>
      <c r="D657" s="18" t="s">
        <v>67</v>
      </c>
      <c r="E657" s="18" t="s">
        <v>59</v>
      </c>
      <c r="F657" s="21">
        <v>378</v>
      </c>
    </row>
    <row r="658" spans="2:6" x14ac:dyDescent="0.25">
      <c r="B658" s="18" t="s">
        <v>10</v>
      </c>
      <c r="C658" s="19">
        <f>40776+(3*365)</f>
        <v>41871</v>
      </c>
      <c r="D658" s="18" t="s">
        <v>65</v>
      </c>
      <c r="E658" s="18" t="s">
        <v>69</v>
      </c>
      <c r="F658" s="21">
        <v>2632</v>
      </c>
    </row>
    <row r="659" spans="2:6" x14ac:dyDescent="0.25">
      <c r="B659" s="18" t="s">
        <v>9</v>
      </c>
      <c r="C659" s="19">
        <f>39881+(3*365)</f>
        <v>40976</v>
      </c>
      <c r="D659" s="18" t="s">
        <v>62</v>
      </c>
      <c r="E659" s="18" t="s">
        <v>61</v>
      </c>
      <c r="F659" s="21">
        <v>640</v>
      </c>
    </row>
    <row r="660" spans="2:6" x14ac:dyDescent="0.25">
      <c r="B660" s="18" t="s">
        <v>25</v>
      </c>
      <c r="C660" s="19">
        <f>39829+(3*365)</f>
        <v>40924</v>
      </c>
      <c r="D660" s="18" t="s">
        <v>78</v>
      </c>
      <c r="E660" s="18" t="s">
        <v>59</v>
      </c>
      <c r="F660" s="21">
        <v>240</v>
      </c>
    </row>
    <row r="661" spans="2:6" x14ac:dyDescent="0.25">
      <c r="B661" s="18" t="s">
        <v>11</v>
      </c>
      <c r="C661" s="19">
        <f>40736+(3*365)</f>
        <v>41831</v>
      </c>
      <c r="D661" s="18" t="s">
        <v>60</v>
      </c>
      <c r="E661" s="18" t="s">
        <v>72</v>
      </c>
      <c r="F661" s="21">
        <v>2115</v>
      </c>
    </row>
    <row r="662" spans="2:6" x14ac:dyDescent="0.25">
      <c r="B662" s="18" t="s">
        <v>11</v>
      </c>
      <c r="C662" s="19">
        <f>40103+(3*365)</f>
        <v>41198</v>
      </c>
      <c r="D662" s="18" t="s">
        <v>74</v>
      </c>
      <c r="E662" s="18" t="s">
        <v>72</v>
      </c>
      <c r="F662" s="21">
        <v>4806</v>
      </c>
    </row>
    <row r="663" spans="2:6" x14ac:dyDescent="0.25">
      <c r="B663" s="18" t="s">
        <v>11</v>
      </c>
      <c r="C663" s="19">
        <f>41255+(3*365)</f>
        <v>42350</v>
      </c>
      <c r="D663" s="18" t="s">
        <v>60</v>
      </c>
      <c r="E663" s="18" t="s">
        <v>69</v>
      </c>
      <c r="F663" s="21">
        <v>2884</v>
      </c>
    </row>
    <row r="664" spans="2:6" x14ac:dyDescent="0.25">
      <c r="B664" s="18" t="s">
        <v>8</v>
      </c>
      <c r="C664" s="19">
        <f>41217+(3*365)</f>
        <v>42312</v>
      </c>
      <c r="D664" s="18" t="s">
        <v>81</v>
      </c>
      <c r="E664" s="18" t="s">
        <v>69</v>
      </c>
      <c r="F664" s="21">
        <v>5516</v>
      </c>
    </row>
    <row r="665" spans="2:6" x14ac:dyDescent="0.25">
      <c r="B665" s="18" t="s">
        <v>18</v>
      </c>
      <c r="C665" s="19">
        <f>40640+(3*365)</f>
        <v>41735</v>
      </c>
      <c r="D665" s="18" t="s">
        <v>68</v>
      </c>
      <c r="E665" s="18" t="s">
        <v>64</v>
      </c>
      <c r="F665" s="21">
        <v>6168</v>
      </c>
    </row>
    <row r="666" spans="2:6" x14ac:dyDescent="0.25">
      <c r="B666" s="18" t="s">
        <v>10</v>
      </c>
      <c r="C666" s="19">
        <f>40823+(3*365)</f>
        <v>41918</v>
      </c>
      <c r="D666" s="18" t="s">
        <v>67</v>
      </c>
      <c r="E666" s="18" t="s">
        <v>63</v>
      </c>
      <c r="F666" s="21">
        <v>282</v>
      </c>
    </row>
    <row r="667" spans="2:6" x14ac:dyDescent="0.25">
      <c r="B667" s="18" t="s">
        <v>31</v>
      </c>
      <c r="C667" s="19">
        <f>40960+(3*365)</f>
        <v>42055</v>
      </c>
      <c r="D667" s="18" t="s">
        <v>76</v>
      </c>
      <c r="E667" s="18" t="s">
        <v>61</v>
      </c>
      <c r="F667" s="21">
        <v>918</v>
      </c>
    </row>
    <row r="668" spans="2:6" x14ac:dyDescent="0.25">
      <c r="B668" s="18" t="s">
        <v>11</v>
      </c>
      <c r="C668" s="19">
        <f>41055+(3*365)</f>
        <v>42150</v>
      </c>
      <c r="D668" s="18" t="s">
        <v>74</v>
      </c>
      <c r="E668" s="18" t="s">
        <v>61</v>
      </c>
      <c r="F668" s="21">
        <v>224</v>
      </c>
    </row>
    <row r="669" spans="2:6" x14ac:dyDescent="0.25">
      <c r="B669" s="18" t="s">
        <v>21</v>
      </c>
      <c r="C669" s="19">
        <f>40628+(3*365)</f>
        <v>41723</v>
      </c>
      <c r="D669" s="18" t="s">
        <v>73</v>
      </c>
      <c r="E669" s="18" t="s">
        <v>64</v>
      </c>
      <c r="F669" s="21">
        <v>6696</v>
      </c>
    </row>
    <row r="670" spans="2:6" x14ac:dyDescent="0.25">
      <c r="B670" s="18" t="s">
        <v>11</v>
      </c>
      <c r="C670" s="19">
        <f>40279+(3*365)</f>
        <v>41374</v>
      </c>
      <c r="D670" s="18" t="s">
        <v>60</v>
      </c>
      <c r="E670" s="18" t="s">
        <v>75</v>
      </c>
      <c r="F670" s="21">
        <v>840</v>
      </c>
    </row>
    <row r="671" spans="2:6" x14ac:dyDescent="0.25">
      <c r="B671" s="18" t="s">
        <v>18</v>
      </c>
      <c r="C671" s="19">
        <f>40204+(3*365)</f>
        <v>41299</v>
      </c>
      <c r="D671" s="18" t="s">
        <v>68</v>
      </c>
      <c r="E671" s="18" t="s">
        <v>63</v>
      </c>
      <c r="F671" s="21">
        <v>1026</v>
      </c>
    </row>
    <row r="672" spans="2:6" x14ac:dyDescent="0.25">
      <c r="B672" s="18" t="s">
        <v>11</v>
      </c>
      <c r="C672" s="19">
        <f>40842+(3*365)</f>
        <v>41937</v>
      </c>
      <c r="D672" s="18" t="s">
        <v>60</v>
      </c>
      <c r="E672" s="18" t="s">
        <v>61</v>
      </c>
      <c r="F672" s="21">
        <v>1128</v>
      </c>
    </row>
    <row r="673" spans="2:6" x14ac:dyDescent="0.25">
      <c r="B673" s="18" t="s">
        <v>10</v>
      </c>
      <c r="C673" s="19">
        <f>40224+(3*365)</f>
        <v>41319</v>
      </c>
      <c r="D673" s="18" t="s">
        <v>65</v>
      </c>
      <c r="E673" s="18" t="s">
        <v>66</v>
      </c>
      <c r="F673" s="21">
        <v>1068</v>
      </c>
    </row>
    <row r="674" spans="2:6" x14ac:dyDescent="0.25">
      <c r="B674" s="18" t="s">
        <v>10</v>
      </c>
      <c r="C674" s="19">
        <f>40545+(3*365)</f>
        <v>41640</v>
      </c>
      <c r="D674" s="18" t="s">
        <v>65</v>
      </c>
      <c r="E674" s="18" t="s">
        <v>64</v>
      </c>
      <c r="F674" s="21">
        <v>7712</v>
      </c>
    </row>
    <row r="675" spans="2:6" x14ac:dyDescent="0.25">
      <c r="B675" s="18" t="s">
        <v>10</v>
      </c>
      <c r="C675" s="19">
        <f>40647+(3*365)</f>
        <v>41742</v>
      </c>
      <c r="D675" s="18" t="s">
        <v>65</v>
      </c>
      <c r="E675" s="18" t="s">
        <v>63</v>
      </c>
      <c r="F675" s="21">
        <v>192</v>
      </c>
    </row>
    <row r="676" spans="2:6" x14ac:dyDescent="0.25">
      <c r="B676" s="18" t="s">
        <v>21</v>
      </c>
      <c r="C676" s="19">
        <f>40685+(3*365)</f>
        <v>41780</v>
      </c>
      <c r="D676" s="18" t="s">
        <v>73</v>
      </c>
      <c r="E676" s="18" t="s">
        <v>69</v>
      </c>
      <c r="F676" s="21">
        <v>2160</v>
      </c>
    </row>
    <row r="677" spans="2:6" x14ac:dyDescent="0.25">
      <c r="B677" s="18" t="s">
        <v>25</v>
      </c>
      <c r="C677" s="19">
        <f>40830+(3*365)</f>
        <v>41925</v>
      </c>
      <c r="D677" s="18" t="s">
        <v>78</v>
      </c>
      <c r="E677" s="18" t="s">
        <v>59</v>
      </c>
      <c r="F677" s="21">
        <v>476</v>
      </c>
    </row>
    <row r="678" spans="2:6" x14ac:dyDescent="0.25">
      <c r="B678" s="18" t="s">
        <v>10</v>
      </c>
      <c r="C678" s="19">
        <f>40044+(3*365)</f>
        <v>41139</v>
      </c>
      <c r="D678" s="18" t="s">
        <v>67</v>
      </c>
      <c r="E678" s="18" t="s">
        <v>61</v>
      </c>
      <c r="F678" s="21">
        <v>2368</v>
      </c>
    </row>
    <row r="679" spans="2:6" x14ac:dyDescent="0.25">
      <c r="B679" s="18" t="s">
        <v>8</v>
      </c>
      <c r="C679" s="19">
        <f>40671+(3*365)</f>
        <v>41766</v>
      </c>
      <c r="D679" s="18" t="s">
        <v>77</v>
      </c>
      <c r="E679" s="18" t="s">
        <v>75</v>
      </c>
      <c r="F679" s="21">
        <v>504</v>
      </c>
    </row>
    <row r="680" spans="2:6" x14ac:dyDescent="0.25">
      <c r="B680" s="18" t="s">
        <v>21</v>
      </c>
      <c r="C680" s="19">
        <f>40891+(3*365)</f>
        <v>41986</v>
      </c>
      <c r="D680" s="18" t="s">
        <v>73</v>
      </c>
      <c r="E680" s="18" t="s">
        <v>69</v>
      </c>
      <c r="F680" s="21">
        <v>3330</v>
      </c>
    </row>
    <row r="681" spans="2:6" x14ac:dyDescent="0.25">
      <c r="B681" s="18" t="s">
        <v>21</v>
      </c>
      <c r="C681" s="19">
        <f>40150+(3*365)</f>
        <v>41245</v>
      </c>
      <c r="D681" s="18" t="s">
        <v>73</v>
      </c>
      <c r="E681" s="18" t="s">
        <v>61</v>
      </c>
      <c r="F681" s="21">
        <v>48</v>
      </c>
    </row>
    <row r="682" spans="2:6" x14ac:dyDescent="0.25">
      <c r="B682" s="18" t="s">
        <v>21</v>
      </c>
      <c r="C682" s="19">
        <f>40415+(3*365)</f>
        <v>41510</v>
      </c>
      <c r="D682" s="18" t="s">
        <v>58</v>
      </c>
      <c r="E682" s="18" t="s">
        <v>72</v>
      </c>
      <c r="F682" s="21">
        <v>420</v>
      </c>
    </row>
    <row r="683" spans="2:6" x14ac:dyDescent="0.25">
      <c r="B683" s="18" t="s">
        <v>25</v>
      </c>
      <c r="C683" s="19">
        <f>40682+(3*365)</f>
        <v>41777</v>
      </c>
      <c r="D683" s="18" t="s">
        <v>78</v>
      </c>
      <c r="E683" s="18" t="s">
        <v>75</v>
      </c>
      <c r="F683" s="21">
        <v>152</v>
      </c>
    </row>
    <row r="684" spans="2:6" x14ac:dyDescent="0.25">
      <c r="B684" s="18" t="s">
        <v>10</v>
      </c>
      <c r="C684" s="19">
        <f>40806+(3*365)</f>
        <v>41901</v>
      </c>
      <c r="D684" s="18" t="s">
        <v>65</v>
      </c>
      <c r="E684" s="18" t="s">
        <v>59</v>
      </c>
      <c r="F684" s="21">
        <v>320</v>
      </c>
    </row>
    <row r="685" spans="2:6" x14ac:dyDescent="0.25">
      <c r="B685" s="18" t="s">
        <v>10</v>
      </c>
      <c r="C685" s="19">
        <f>41150+(3*365)</f>
        <v>42245</v>
      </c>
      <c r="D685" s="18" t="s">
        <v>65</v>
      </c>
      <c r="E685" s="18" t="s">
        <v>64</v>
      </c>
      <c r="F685" s="21">
        <v>9720</v>
      </c>
    </row>
    <row r="686" spans="2:6" x14ac:dyDescent="0.25">
      <c r="B686" s="18" t="s">
        <v>25</v>
      </c>
      <c r="C686" s="19">
        <f>40561+(3*365)</f>
        <v>41656</v>
      </c>
      <c r="D686" s="18" t="s">
        <v>79</v>
      </c>
      <c r="E686" s="18" t="s">
        <v>59</v>
      </c>
      <c r="F686" s="21">
        <v>288</v>
      </c>
    </row>
    <row r="687" spans="2:6" x14ac:dyDescent="0.25">
      <c r="B687" s="18" t="s">
        <v>31</v>
      </c>
      <c r="C687" s="19">
        <f>39846+(3*365)</f>
        <v>40941</v>
      </c>
      <c r="D687" s="18" t="s">
        <v>76</v>
      </c>
      <c r="E687" s="18" t="s">
        <v>72</v>
      </c>
      <c r="F687" s="21">
        <v>3717</v>
      </c>
    </row>
    <row r="688" spans="2:6" x14ac:dyDescent="0.25">
      <c r="B688" s="18" t="s">
        <v>18</v>
      </c>
      <c r="C688" s="19">
        <f>40326+(3*365)</f>
        <v>41421</v>
      </c>
      <c r="D688" s="18" t="s">
        <v>68</v>
      </c>
      <c r="E688" s="18" t="s">
        <v>72</v>
      </c>
      <c r="F688" s="21">
        <v>1548</v>
      </c>
    </row>
    <row r="689" spans="2:6" x14ac:dyDescent="0.25">
      <c r="B689" s="18" t="s">
        <v>10</v>
      </c>
      <c r="C689" s="19">
        <f>40322+(3*365)</f>
        <v>41417</v>
      </c>
      <c r="D689" s="18" t="s">
        <v>65</v>
      </c>
      <c r="E689" s="18" t="s">
        <v>64</v>
      </c>
      <c r="F689" s="21">
        <v>17088</v>
      </c>
    </row>
    <row r="690" spans="2:6" x14ac:dyDescent="0.25">
      <c r="B690" s="18" t="s">
        <v>8</v>
      </c>
      <c r="C690" s="19">
        <f>40177+(3*365)</f>
        <v>41272</v>
      </c>
      <c r="D690" s="18" t="s">
        <v>81</v>
      </c>
      <c r="E690" s="18" t="s">
        <v>61</v>
      </c>
      <c r="F690" s="21">
        <v>711</v>
      </c>
    </row>
    <row r="691" spans="2:6" x14ac:dyDescent="0.25">
      <c r="B691" s="18" t="s">
        <v>18</v>
      </c>
      <c r="C691" s="19">
        <f>40498+(3*365)</f>
        <v>41593</v>
      </c>
      <c r="D691" s="18" t="s">
        <v>71</v>
      </c>
      <c r="E691" s="18" t="s">
        <v>59</v>
      </c>
      <c r="F691" s="21">
        <v>84</v>
      </c>
    </row>
    <row r="692" spans="2:6" x14ac:dyDescent="0.25">
      <c r="B692" s="18" t="s">
        <v>9</v>
      </c>
      <c r="C692" s="19">
        <f>40953+(3*365)</f>
        <v>42048</v>
      </c>
      <c r="D692" s="18" t="s">
        <v>62</v>
      </c>
      <c r="E692" s="18" t="s">
        <v>72</v>
      </c>
      <c r="F692" s="21">
        <v>1120</v>
      </c>
    </row>
    <row r="693" spans="2:6" x14ac:dyDescent="0.25">
      <c r="B693" s="18" t="s">
        <v>25</v>
      </c>
      <c r="C693" s="19">
        <f>40798+(3*365)</f>
        <v>41893</v>
      </c>
      <c r="D693" s="18" t="s">
        <v>79</v>
      </c>
      <c r="E693" s="18" t="s">
        <v>64</v>
      </c>
      <c r="F693" s="21">
        <v>8484</v>
      </c>
    </row>
    <row r="694" spans="2:6" x14ac:dyDescent="0.25">
      <c r="B694" s="18" t="s">
        <v>21</v>
      </c>
      <c r="C694" s="19">
        <f>40861+(3*365)</f>
        <v>41956</v>
      </c>
      <c r="D694" s="18" t="s">
        <v>58</v>
      </c>
      <c r="E694" s="18" t="s">
        <v>75</v>
      </c>
      <c r="F694" s="21">
        <v>120</v>
      </c>
    </row>
    <row r="695" spans="2:6" x14ac:dyDescent="0.25">
      <c r="B695" s="18" t="s">
        <v>11</v>
      </c>
      <c r="C695" s="19">
        <f>40276+(3*365)</f>
        <v>41371</v>
      </c>
      <c r="D695" s="18" t="s">
        <v>74</v>
      </c>
      <c r="E695" s="18" t="s">
        <v>72</v>
      </c>
      <c r="F695" s="21">
        <v>1539</v>
      </c>
    </row>
    <row r="696" spans="2:6" x14ac:dyDescent="0.25">
      <c r="B696" s="18" t="s">
        <v>9</v>
      </c>
      <c r="C696" s="19">
        <f>40493+(3*365)</f>
        <v>41588</v>
      </c>
      <c r="D696" s="18" t="s">
        <v>62</v>
      </c>
      <c r="E696" s="18" t="s">
        <v>66</v>
      </c>
      <c r="F696" s="21">
        <v>954</v>
      </c>
    </row>
    <row r="697" spans="2:6" x14ac:dyDescent="0.25">
      <c r="B697" s="18" t="s">
        <v>10</v>
      </c>
      <c r="C697" s="19">
        <f>40480+(3*365)</f>
        <v>41575</v>
      </c>
      <c r="D697" s="18" t="s">
        <v>67</v>
      </c>
      <c r="E697" s="18" t="s">
        <v>66</v>
      </c>
      <c r="F697" s="21">
        <v>600</v>
      </c>
    </row>
    <row r="698" spans="2:6" x14ac:dyDescent="0.25">
      <c r="B698" s="18" t="s">
        <v>10</v>
      </c>
      <c r="C698" s="19">
        <f>40298+(3*365)</f>
        <v>41393</v>
      </c>
      <c r="D698" s="18" t="s">
        <v>65</v>
      </c>
      <c r="E698" s="18" t="s">
        <v>59</v>
      </c>
      <c r="F698" s="21">
        <v>375</v>
      </c>
    </row>
    <row r="699" spans="2:6" x14ac:dyDescent="0.25">
      <c r="B699" s="18" t="s">
        <v>9</v>
      </c>
      <c r="C699" s="19">
        <f>41214+(3*365)</f>
        <v>42309</v>
      </c>
      <c r="D699" s="18" t="s">
        <v>62</v>
      </c>
      <c r="E699" s="18" t="s">
        <v>59</v>
      </c>
      <c r="F699" s="21">
        <v>52</v>
      </c>
    </row>
    <row r="700" spans="2:6" x14ac:dyDescent="0.25">
      <c r="B700" s="18" t="s">
        <v>21</v>
      </c>
      <c r="C700" s="19">
        <f>41123+(3*365)</f>
        <v>42218</v>
      </c>
      <c r="D700" s="18" t="s">
        <v>73</v>
      </c>
      <c r="E700" s="18" t="s">
        <v>61</v>
      </c>
      <c r="F700" s="21">
        <v>384</v>
      </c>
    </row>
    <row r="701" spans="2:6" x14ac:dyDescent="0.25">
      <c r="B701" s="18" t="s">
        <v>8</v>
      </c>
      <c r="C701" s="19">
        <f>40813+(3*365)</f>
        <v>41908</v>
      </c>
      <c r="D701" s="18" t="s">
        <v>77</v>
      </c>
      <c r="E701" s="18" t="s">
        <v>72</v>
      </c>
      <c r="F701" s="21">
        <v>2072</v>
      </c>
    </row>
    <row r="702" spans="2:6" x14ac:dyDescent="0.25">
      <c r="B702" s="18" t="s">
        <v>31</v>
      </c>
      <c r="C702" s="19">
        <f>40429+(3*365)</f>
        <v>41524</v>
      </c>
      <c r="D702" s="18" t="s">
        <v>70</v>
      </c>
      <c r="E702" s="18" t="s">
        <v>61</v>
      </c>
      <c r="F702" s="21">
        <v>240</v>
      </c>
    </row>
    <row r="703" spans="2:6" x14ac:dyDescent="0.25">
      <c r="B703" s="18" t="s">
        <v>9</v>
      </c>
      <c r="C703" s="19">
        <f>40220+(3*365)</f>
        <v>41315</v>
      </c>
      <c r="D703" s="18" t="s">
        <v>80</v>
      </c>
      <c r="E703" s="18" t="s">
        <v>66</v>
      </c>
      <c r="F703" s="21">
        <v>370</v>
      </c>
    </row>
    <row r="704" spans="2:6" x14ac:dyDescent="0.25">
      <c r="B704" s="18" t="s">
        <v>18</v>
      </c>
      <c r="C704" s="19">
        <f>40433+(3*365)</f>
        <v>41528</v>
      </c>
      <c r="D704" s="18" t="s">
        <v>71</v>
      </c>
      <c r="E704" s="18" t="s">
        <v>61</v>
      </c>
      <c r="F704" s="21">
        <v>1485</v>
      </c>
    </row>
    <row r="705" spans="2:6" x14ac:dyDescent="0.25">
      <c r="B705" s="18" t="s">
        <v>25</v>
      </c>
      <c r="C705" s="19">
        <f>40023+(3*365)</f>
        <v>41118</v>
      </c>
      <c r="D705" s="18" t="s">
        <v>79</v>
      </c>
      <c r="E705" s="18" t="s">
        <v>61</v>
      </c>
      <c r="F705" s="21">
        <v>752</v>
      </c>
    </row>
    <row r="706" spans="2:6" x14ac:dyDescent="0.25">
      <c r="B706" s="18" t="s">
        <v>8</v>
      </c>
      <c r="C706" s="19">
        <f>40863+(3*365)</f>
        <v>41958</v>
      </c>
      <c r="D706" s="18" t="s">
        <v>81</v>
      </c>
      <c r="E706" s="18" t="s">
        <v>69</v>
      </c>
      <c r="F706" s="21">
        <v>5404</v>
      </c>
    </row>
    <row r="707" spans="2:6" x14ac:dyDescent="0.25">
      <c r="B707" s="18" t="s">
        <v>11</v>
      </c>
      <c r="C707" s="19">
        <f>40456+(3*365)</f>
        <v>41551</v>
      </c>
      <c r="D707" s="18" t="s">
        <v>60</v>
      </c>
      <c r="E707" s="18" t="s">
        <v>63</v>
      </c>
      <c r="F707" s="21">
        <v>621</v>
      </c>
    </row>
    <row r="708" spans="2:6" x14ac:dyDescent="0.25">
      <c r="B708" s="18" t="s">
        <v>10</v>
      </c>
      <c r="C708" s="19">
        <f>41107+(3*365)</f>
        <v>42202</v>
      </c>
      <c r="D708" s="18" t="s">
        <v>65</v>
      </c>
      <c r="E708" s="18" t="s">
        <v>69</v>
      </c>
      <c r="F708" s="21">
        <v>1170</v>
      </c>
    </row>
    <row r="709" spans="2:6" x14ac:dyDescent="0.25">
      <c r="B709" s="18" t="s">
        <v>31</v>
      </c>
      <c r="C709" s="19">
        <f>39960+(3*365)</f>
        <v>41055</v>
      </c>
      <c r="D709" s="18" t="s">
        <v>76</v>
      </c>
      <c r="E709" s="18" t="s">
        <v>72</v>
      </c>
      <c r="F709" s="21">
        <v>1188</v>
      </c>
    </row>
    <row r="710" spans="2:6" x14ac:dyDescent="0.25">
      <c r="B710" s="18" t="s">
        <v>25</v>
      </c>
      <c r="C710" s="19">
        <f>40861+(3*365)</f>
        <v>41956</v>
      </c>
      <c r="D710" s="18" t="s">
        <v>78</v>
      </c>
      <c r="E710" s="18" t="s">
        <v>72</v>
      </c>
      <c r="F710" s="21">
        <v>3460</v>
      </c>
    </row>
    <row r="711" spans="2:6" x14ac:dyDescent="0.25">
      <c r="B711" s="18" t="s">
        <v>11</v>
      </c>
      <c r="C711" s="19">
        <f>40171+(3*365)</f>
        <v>41266</v>
      </c>
      <c r="D711" s="18" t="s">
        <v>74</v>
      </c>
      <c r="E711" s="18" t="s">
        <v>75</v>
      </c>
      <c r="F711" s="21">
        <v>594</v>
      </c>
    </row>
    <row r="712" spans="2:6" x14ac:dyDescent="0.25">
      <c r="B712" s="18" t="s">
        <v>21</v>
      </c>
      <c r="C712" s="19">
        <f>40753+(3*365)</f>
        <v>41848</v>
      </c>
      <c r="D712" s="18" t="s">
        <v>73</v>
      </c>
      <c r="E712" s="18" t="s">
        <v>72</v>
      </c>
      <c r="F712" s="21">
        <v>1410</v>
      </c>
    </row>
    <row r="713" spans="2:6" x14ac:dyDescent="0.25">
      <c r="B713" s="18" t="s">
        <v>10</v>
      </c>
      <c r="C713" s="19">
        <f>39845+(3*365)</f>
        <v>40940</v>
      </c>
      <c r="D713" s="18" t="s">
        <v>65</v>
      </c>
      <c r="E713" s="18" t="s">
        <v>66</v>
      </c>
      <c r="F713" s="21">
        <v>980</v>
      </c>
    </row>
    <row r="714" spans="2:6" x14ac:dyDescent="0.25">
      <c r="B714" s="18" t="s">
        <v>8</v>
      </c>
      <c r="C714" s="19">
        <f>40521+(3*365)</f>
        <v>41616</v>
      </c>
      <c r="D714" s="18" t="s">
        <v>81</v>
      </c>
      <c r="E714" s="18" t="s">
        <v>72</v>
      </c>
      <c r="F714" s="21">
        <v>2912</v>
      </c>
    </row>
    <row r="715" spans="2:6" x14ac:dyDescent="0.25">
      <c r="B715" s="18" t="s">
        <v>25</v>
      </c>
      <c r="C715" s="19">
        <f>40791+(3*365)</f>
        <v>41886</v>
      </c>
      <c r="D715" s="18" t="s">
        <v>79</v>
      </c>
      <c r="E715" s="18" t="s">
        <v>61</v>
      </c>
      <c r="F715" s="21">
        <v>576</v>
      </c>
    </row>
    <row r="716" spans="2:6" x14ac:dyDescent="0.25">
      <c r="B716" s="18" t="s">
        <v>10</v>
      </c>
      <c r="C716" s="19">
        <f>40369+(3*365)</f>
        <v>41464</v>
      </c>
      <c r="D716" s="18" t="s">
        <v>65</v>
      </c>
      <c r="E716" s="18" t="s">
        <v>64</v>
      </c>
      <c r="F716" s="21">
        <v>4128</v>
      </c>
    </row>
    <row r="717" spans="2:6" x14ac:dyDescent="0.25">
      <c r="B717" s="18" t="s">
        <v>25</v>
      </c>
      <c r="C717" s="19">
        <f>40741+(3*365)</f>
        <v>41836</v>
      </c>
      <c r="D717" s="18" t="s">
        <v>79</v>
      </c>
      <c r="E717" s="18" t="s">
        <v>61</v>
      </c>
      <c r="F717" s="21">
        <v>640</v>
      </c>
    </row>
    <row r="718" spans="2:6" x14ac:dyDescent="0.25">
      <c r="B718" s="18" t="s">
        <v>21</v>
      </c>
      <c r="C718" s="19">
        <f>40067+(3*365)</f>
        <v>41162</v>
      </c>
      <c r="D718" s="18" t="s">
        <v>73</v>
      </c>
      <c r="E718" s="18" t="s">
        <v>75</v>
      </c>
      <c r="F718" s="21">
        <v>100</v>
      </c>
    </row>
    <row r="719" spans="2:6" x14ac:dyDescent="0.25">
      <c r="B719" s="18" t="s">
        <v>21</v>
      </c>
      <c r="C719" s="19">
        <f>40476+(3*365)</f>
        <v>41571</v>
      </c>
      <c r="D719" s="18" t="s">
        <v>58</v>
      </c>
      <c r="E719" s="18" t="s">
        <v>59</v>
      </c>
      <c r="F719" s="21">
        <v>162</v>
      </c>
    </row>
    <row r="720" spans="2:6" x14ac:dyDescent="0.25">
      <c r="B720" s="18" t="s">
        <v>9</v>
      </c>
      <c r="C720" s="19">
        <f>39921+(3*365)</f>
        <v>41016</v>
      </c>
      <c r="D720" s="18" t="s">
        <v>62</v>
      </c>
      <c r="E720" s="18" t="s">
        <v>69</v>
      </c>
      <c r="F720" s="21">
        <v>242</v>
      </c>
    </row>
    <row r="721" spans="2:6" x14ac:dyDescent="0.25">
      <c r="B721" s="18" t="s">
        <v>21</v>
      </c>
      <c r="C721" s="19">
        <f>39931+(3*365)</f>
        <v>41026</v>
      </c>
      <c r="D721" s="18" t="s">
        <v>58</v>
      </c>
      <c r="E721" s="18" t="s">
        <v>69</v>
      </c>
      <c r="F721" s="21">
        <v>262</v>
      </c>
    </row>
    <row r="722" spans="2:6" x14ac:dyDescent="0.25">
      <c r="B722" s="18" t="s">
        <v>31</v>
      </c>
      <c r="C722" s="19">
        <f>40453+(3*365)</f>
        <v>41548</v>
      </c>
      <c r="D722" s="18" t="s">
        <v>70</v>
      </c>
      <c r="E722" s="18" t="s">
        <v>69</v>
      </c>
      <c r="F722" s="21">
        <v>732</v>
      </c>
    </row>
    <row r="723" spans="2:6" x14ac:dyDescent="0.25">
      <c r="B723" s="18" t="s">
        <v>9</v>
      </c>
      <c r="C723" s="19">
        <f>40617+(3*365)</f>
        <v>41712</v>
      </c>
      <c r="D723" s="18" t="s">
        <v>62</v>
      </c>
      <c r="E723" s="18" t="s">
        <v>75</v>
      </c>
      <c r="F723" s="21">
        <v>228</v>
      </c>
    </row>
    <row r="724" spans="2:6" x14ac:dyDescent="0.25">
      <c r="B724" s="18" t="s">
        <v>9</v>
      </c>
      <c r="C724" s="19">
        <f>40095+(3*365)</f>
        <v>41190</v>
      </c>
      <c r="D724" s="18" t="s">
        <v>80</v>
      </c>
      <c r="E724" s="18" t="s">
        <v>72</v>
      </c>
      <c r="F724" s="21">
        <v>400</v>
      </c>
    </row>
    <row r="725" spans="2:6" x14ac:dyDescent="0.25">
      <c r="B725" s="18" t="s">
        <v>31</v>
      </c>
      <c r="C725" s="19">
        <f>40038+(3*365)</f>
        <v>41133</v>
      </c>
      <c r="D725" s="18" t="s">
        <v>70</v>
      </c>
      <c r="E725" s="18" t="s">
        <v>63</v>
      </c>
      <c r="F725" s="21">
        <v>183</v>
      </c>
    </row>
    <row r="726" spans="2:6" x14ac:dyDescent="0.25">
      <c r="B726" s="18" t="s">
        <v>11</v>
      </c>
      <c r="C726" s="19">
        <f>40306+(3*365)</f>
        <v>41401</v>
      </c>
      <c r="D726" s="18" t="s">
        <v>74</v>
      </c>
      <c r="E726" s="18" t="s">
        <v>63</v>
      </c>
      <c r="F726" s="21">
        <v>987</v>
      </c>
    </row>
    <row r="727" spans="2:6" x14ac:dyDescent="0.25">
      <c r="B727" s="18" t="s">
        <v>11</v>
      </c>
      <c r="C727" s="19">
        <f>40702+(3*365)</f>
        <v>41797</v>
      </c>
      <c r="D727" s="18" t="s">
        <v>74</v>
      </c>
      <c r="E727" s="18" t="s">
        <v>69</v>
      </c>
      <c r="F727" s="21">
        <v>3294</v>
      </c>
    </row>
    <row r="728" spans="2:6" x14ac:dyDescent="0.25">
      <c r="B728" s="18" t="s">
        <v>25</v>
      </c>
      <c r="C728" s="19">
        <f>39919+(3*365)</f>
        <v>41014</v>
      </c>
      <c r="D728" s="18" t="s">
        <v>78</v>
      </c>
      <c r="E728" s="18" t="s">
        <v>63</v>
      </c>
      <c r="F728" s="21">
        <v>300</v>
      </c>
    </row>
    <row r="729" spans="2:6" x14ac:dyDescent="0.25">
      <c r="B729" s="18" t="s">
        <v>11</v>
      </c>
      <c r="C729" s="19">
        <f>40466+(3*365)</f>
        <v>41561</v>
      </c>
      <c r="D729" s="18" t="s">
        <v>74</v>
      </c>
      <c r="E729" s="18" t="s">
        <v>59</v>
      </c>
      <c r="F729" s="21">
        <v>204</v>
      </c>
    </row>
    <row r="730" spans="2:6" x14ac:dyDescent="0.25">
      <c r="B730" s="18" t="s">
        <v>21</v>
      </c>
      <c r="C730" s="19">
        <f>40961+(3*365)</f>
        <v>42056</v>
      </c>
      <c r="D730" s="18" t="s">
        <v>58</v>
      </c>
      <c r="E730" s="18" t="s">
        <v>75</v>
      </c>
      <c r="F730" s="21">
        <v>256</v>
      </c>
    </row>
    <row r="731" spans="2:6" x14ac:dyDescent="0.25">
      <c r="B731" s="18" t="s">
        <v>31</v>
      </c>
      <c r="C731" s="19">
        <f>39943+(3*365)</f>
        <v>41038</v>
      </c>
      <c r="D731" s="18" t="s">
        <v>70</v>
      </c>
      <c r="E731" s="18" t="s">
        <v>75</v>
      </c>
      <c r="F731" s="21">
        <v>180</v>
      </c>
    </row>
    <row r="732" spans="2:6" x14ac:dyDescent="0.25">
      <c r="B732" s="18" t="s">
        <v>21</v>
      </c>
      <c r="C732" s="19">
        <f>41181+(3*365)</f>
        <v>42276</v>
      </c>
      <c r="D732" s="18" t="s">
        <v>73</v>
      </c>
      <c r="E732" s="18" t="s">
        <v>63</v>
      </c>
      <c r="F732" s="21">
        <v>432</v>
      </c>
    </row>
    <row r="733" spans="2:6" x14ac:dyDescent="0.25">
      <c r="B733" s="18" t="s">
        <v>11</v>
      </c>
      <c r="C733" s="19">
        <f>41192+(3*365)</f>
        <v>42287</v>
      </c>
      <c r="D733" s="18" t="s">
        <v>60</v>
      </c>
      <c r="E733" s="18" t="s">
        <v>59</v>
      </c>
      <c r="F733" s="21">
        <v>180</v>
      </c>
    </row>
    <row r="734" spans="2:6" x14ac:dyDescent="0.25">
      <c r="B734" s="18" t="s">
        <v>25</v>
      </c>
      <c r="C734" s="19">
        <f>41007+(3*365)</f>
        <v>42102</v>
      </c>
      <c r="D734" s="18" t="s">
        <v>79</v>
      </c>
      <c r="E734" s="18" t="s">
        <v>69</v>
      </c>
      <c r="F734" s="21">
        <v>428</v>
      </c>
    </row>
    <row r="735" spans="2:6" x14ac:dyDescent="0.25">
      <c r="B735" s="18" t="s">
        <v>25</v>
      </c>
      <c r="C735" s="19">
        <f>41063+(3*365)</f>
        <v>42158</v>
      </c>
      <c r="D735" s="18" t="s">
        <v>78</v>
      </c>
      <c r="E735" s="18" t="s">
        <v>63</v>
      </c>
      <c r="F735" s="21">
        <v>624</v>
      </c>
    </row>
    <row r="736" spans="2:6" x14ac:dyDescent="0.25">
      <c r="B736" s="18" t="s">
        <v>18</v>
      </c>
      <c r="C736" s="19">
        <f>40534+(3*365)</f>
        <v>41629</v>
      </c>
      <c r="D736" s="18" t="s">
        <v>68</v>
      </c>
      <c r="E736" s="18" t="s">
        <v>64</v>
      </c>
      <c r="F736" s="21">
        <v>9933</v>
      </c>
    </row>
    <row r="737" spans="2:6" x14ac:dyDescent="0.25">
      <c r="B737" s="18" t="s">
        <v>11</v>
      </c>
      <c r="C737" s="19">
        <f>39880+(3*365)</f>
        <v>40975</v>
      </c>
      <c r="D737" s="18" t="s">
        <v>74</v>
      </c>
      <c r="E737" s="18" t="s">
        <v>63</v>
      </c>
      <c r="F737" s="21">
        <v>648</v>
      </c>
    </row>
    <row r="738" spans="2:6" x14ac:dyDescent="0.25">
      <c r="B738" s="18" t="s">
        <v>10</v>
      </c>
      <c r="C738" s="19">
        <f>39893+(3*365)</f>
        <v>40988</v>
      </c>
      <c r="D738" s="18" t="s">
        <v>65</v>
      </c>
      <c r="E738" s="18" t="s">
        <v>64</v>
      </c>
      <c r="F738" s="21">
        <v>4888</v>
      </c>
    </row>
    <row r="739" spans="2:6" x14ac:dyDescent="0.25">
      <c r="B739" s="18" t="s">
        <v>21</v>
      </c>
      <c r="C739" s="19">
        <f>40486+(3*365)</f>
        <v>41581</v>
      </c>
      <c r="D739" s="18" t="s">
        <v>73</v>
      </c>
      <c r="E739" s="18" t="s">
        <v>75</v>
      </c>
      <c r="F739" s="21">
        <v>592</v>
      </c>
    </row>
    <row r="740" spans="2:6" x14ac:dyDescent="0.25">
      <c r="B740" s="18" t="s">
        <v>9</v>
      </c>
      <c r="C740" s="19">
        <f>41082+(3*365)</f>
        <v>42177</v>
      </c>
      <c r="D740" s="18" t="s">
        <v>80</v>
      </c>
      <c r="E740" s="18" t="s">
        <v>66</v>
      </c>
      <c r="F740" s="21">
        <v>420</v>
      </c>
    </row>
    <row r="741" spans="2:6" x14ac:dyDescent="0.25">
      <c r="B741" s="18" t="s">
        <v>25</v>
      </c>
      <c r="C741" s="19">
        <f>40276+(3*365)</f>
        <v>41371</v>
      </c>
      <c r="D741" s="18" t="s">
        <v>78</v>
      </c>
      <c r="E741" s="18" t="s">
        <v>61</v>
      </c>
      <c r="F741" s="21">
        <v>960</v>
      </c>
    </row>
    <row r="742" spans="2:6" x14ac:dyDescent="0.25">
      <c r="B742" s="18" t="s">
        <v>8</v>
      </c>
      <c r="C742" s="19">
        <f>40227+(3*365)</f>
        <v>41322</v>
      </c>
      <c r="D742" s="18" t="s">
        <v>81</v>
      </c>
      <c r="E742" s="18" t="s">
        <v>64</v>
      </c>
      <c r="F742" s="21">
        <v>14400</v>
      </c>
    </row>
    <row r="743" spans="2:6" x14ac:dyDescent="0.25">
      <c r="B743" s="18" t="s">
        <v>18</v>
      </c>
      <c r="C743" s="19">
        <f>41096+(3*365)</f>
        <v>42191</v>
      </c>
      <c r="D743" s="18" t="s">
        <v>71</v>
      </c>
      <c r="E743" s="18" t="s">
        <v>63</v>
      </c>
      <c r="F743" s="21">
        <v>837</v>
      </c>
    </row>
    <row r="744" spans="2:6" x14ac:dyDescent="0.25">
      <c r="B744" s="18" t="s">
        <v>9</v>
      </c>
      <c r="C744" s="19">
        <f>41073+(3*365)</f>
        <v>42168</v>
      </c>
      <c r="D744" s="18" t="s">
        <v>80</v>
      </c>
      <c r="E744" s="18" t="s">
        <v>72</v>
      </c>
      <c r="F744" s="21">
        <v>351</v>
      </c>
    </row>
    <row r="745" spans="2:6" x14ac:dyDescent="0.25">
      <c r="B745" s="18" t="s">
        <v>31</v>
      </c>
      <c r="C745" s="19">
        <f>40715+(3*365)</f>
        <v>41810</v>
      </c>
      <c r="D745" s="18" t="s">
        <v>76</v>
      </c>
      <c r="E745" s="18" t="s">
        <v>72</v>
      </c>
      <c r="F745" s="21">
        <v>252</v>
      </c>
    </row>
    <row r="746" spans="2:6" x14ac:dyDescent="0.25">
      <c r="B746" s="18" t="s">
        <v>31</v>
      </c>
      <c r="C746" s="19">
        <f>40946+(3*365)</f>
        <v>42041</v>
      </c>
      <c r="D746" s="18" t="s">
        <v>70</v>
      </c>
      <c r="E746" s="18" t="s">
        <v>59</v>
      </c>
      <c r="F746" s="21">
        <v>465</v>
      </c>
    </row>
    <row r="747" spans="2:6" x14ac:dyDescent="0.25">
      <c r="B747" s="18" t="s">
        <v>18</v>
      </c>
      <c r="C747" s="19">
        <f>40715+(3*365)</f>
        <v>41810</v>
      </c>
      <c r="D747" s="18" t="s">
        <v>71</v>
      </c>
      <c r="E747" s="18" t="s">
        <v>69</v>
      </c>
      <c r="F747" s="21">
        <v>4200</v>
      </c>
    </row>
    <row r="748" spans="2:6" x14ac:dyDescent="0.25">
      <c r="B748" s="18" t="s">
        <v>10</v>
      </c>
      <c r="C748" s="19">
        <f>40416+(3*365)</f>
        <v>41511</v>
      </c>
      <c r="D748" s="18" t="s">
        <v>65</v>
      </c>
      <c r="E748" s="18" t="s">
        <v>69</v>
      </c>
      <c r="F748" s="21">
        <v>1170</v>
      </c>
    </row>
    <row r="749" spans="2:6" x14ac:dyDescent="0.25">
      <c r="B749" s="18" t="s">
        <v>9</v>
      </c>
      <c r="C749" s="19">
        <f>40735+(3*365)</f>
        <v>41830</v>
      </c>
      <c r="D749" s="18" t="s">
        <v>62</v>
      </c>
      <c r="E749" s="18" t="s">
        <v>72</v>
      </c>
      <c r="F749" s="21">
        <v>5904</v>
      </c>
    </row>
    <row r="750" spans="2:6" x14ac:dyDescent="0.25">
      <c r="B750" s="18" t="s">
        <v>18</v>
      </c>
      <c r="C750" s="19">
        <f>40214+(3*365)</f>
        <v>41309</v>
      </c>
      <c r="D750" s="18" t="s">
        <v>71</v>
      </c>
      <c r="E750" s="18" t="s">
        <v>72</v>
      </c>
      <c r="F750" s="21">
        <v>2205</v>
      </c>
    </row>
    <row r="751" spans="2:6" x14ac:dyDescent="0.25">
      <c r="B751" s="18" t="s">
        <v>8</v>
      </c>
      <c r="C751" s="19">
        <f>40587+(3*365)</f>
        <v>41682</v>
      </c>
      <c r="D751" s="18" t="s">
        <v>77</v>
      </c>
      <c r="E751" s="18" t="s">
        <v>63</v>
      </c>
      <c r="F751" s="21">
        <v>1248</v>
      </c>
    </row>
    <row r="752" spans="2:6" x14ac:dyDescent="0.25">
      <c r="B752" s="18" t="s">
        <v>9</v>
      </c>
      <c r="C752" s="19">
        <f>40883+(3*365)</f>
        <v>41978</v>
      </c>
      <c r="D752" s="18" t="s">
        <v>80</v>
      </c>
      <c r="E752" s="18" t="s">
        <v>59</v>
      </c>
      <c r="F752" s="21">
        <v>306</v>
      </c>
    </row>
    <row r="753" spans="2:6" x14ac:dyDescent="0.25">
      <c r="B753" s="18" t="s">
        <v>10</v>
      </c>
      <c r="C753" s="19">
        <f>40323+(3*365)</f>
        <v>41418</v>
      </c>
      <c r="D753" s="18" t="s">
        <v>65</v>
      </c>
      <c r="E753" s="18" t="s">
        <v>61</v>
      </c>
      <c r="F753" s="21">
        <v>1248</v>
      </c>
    </row>
    <row r="754" spans="2:6" x14ac:dyDescent="0.25">
      <c r="B754" s="18" t="s">
        <v>9</v>
      </c>
      <c r="C754" s="19">
        <f>41151+(3*365)</f>
        <v>42246</v>
      </c>
      <c r="D754" s="18" t="s">
        <v>80</v>
      </c>
      <c r="E754" s="18" t="s">
        <v>64</v>
      </c>
      <c r="F754" s="21">
        <v>2190</v>
      </c>
    </row>
    <row r="755" spans="2:6" x14ac:dyDescent="0.25">
      <c r="B755" s="18" t="s">
        <v>21</v>
      </c>
      <c r="C755" s="19">
        <f>40971+(3*365)</f>
        <v>42066</v>
      </c>
      <c r="D755" s="18" t="s">
        <v>73</v>
      </c>
      <c r="E755" s="18" t="s">
        <v>61</v>
      </c>
      <c r="F755" s="21">
        <v>120</v>
      </c>
    </row>
    <row r="756" spans="2:6" x14ac:dyDescent="0.25">
      <c r="B756" s="18" t="s">
        <v>11</v>
      </c>
      <c r="C756" s="19">
        <f>40572+(3*365)</f>
        <v>41667</v>
      </c>
      <c r="D756" s="18" t="s">
        <v>60</v>
      </c>
      <c r="E756" s="18" t="s">
        <v>61</v>
      </c>
      <c r="F756" s="21">
        <v>1026</v>
      </c>
    </row>
    <row r="757" spans="2:6" x14ac:dyDescent="0.25">
      <c r="B757" s="18" t="s">
        <v>9</v>
      </c>
      <c r="C757" s="19">
        <f>40693+(3*365)</f>
        <v>41788</v>
      </c>
      <c r="D757" s="18" t="s">
        <v>80</v>
      </c>
      <c r="E757" s="18" t="s">
        <v>63</v>
      </c>
      <c r="F757" s="21">
        <v>435</v>
      </c>
    </row>
    <row r="758" spans="2:6" x14ac:dyDescent="0.25">
      <c r="B758" s="18" t="s">
        <v>25</v>
      </c>
      <c r="C758" s="19">
        <f>40694+(3*365)</f>
        <v>41789</v>
      </c>
      <c r="D758" s="18" t="s">
        <v>79</v>
      </c>
      <c r="E758" s="18" t="s">
        <v>69</v>
      </c>
      <c r="F758" s="21">
        <v>3008</v>
      </c>
    </row>
    <row r="759" spans="2:6" x14ac:dyDescent="0.25">
      <c r="B759" s="18" t="s">
        <v>25</v>
      </c>
      <c r="C759" s="19">
        <f>39931+(3*365)</f>
        <v>41026</v>
      </c>
      <c r="D759" s="18" t="s">
        <v>79</v>
      </c>
      <c r="E759" s="18" t="s">
        <v>72</v>
      </c>
      <c r="F759" s="21">
        <v>380</v>
      </c>
    </row>
    <row r="760" spans="2:6" x14ac:dyDescent="0.25">
      <c r="B760" s="18" t="s">
        <v>11</v>
      </c>
      <c r="C760" s="19">
        <f>41143+(3*365)</f>
        <v>42238</v>
      </c>
      <c r="D760" s="18" t="s">
        <v>74</v>
      </c>
      <c r="E760" s="18" t="s">
        <v>66</v>
      </c>
      <c r="F760" s="21">
        <v>2592</v>
      </c>
    </row>
    <row r="761" spans="2:6" x14ac:dyDescent="0.25">
      <c r="B761" s="18" t="s">
        <v>10</v>
      </c>
      <c r="C761" s="19">
        <f>41187+(3*365)</f>
        <v>42282</v>
      </c>
      <c r="D761" s="18" t="s">
        <v>67</v>
      </c>
      <c r="E761" s="18" t="s">
        <v>61</v>
      </c>
      <c r="F761" s="21">
        <v>444</v>
      </c>
    </row>
    <row r="762" spans="2:6" x14ac:dyDescent="0.25">
      <c r="B762" s="18" t="s">
        <v>9</v>
      </c>
      <c r="C762" s="19">
        <f>40987+(3*365)</f>
        <v>42082</v>
      </c>
      <c r="D762" s="18" t="s">
        <v>80</v>
      </c>
      <c r="E762" s="18" t="s">
        <v>75</v>
      </c>
      <c r="F762" s="21">
        <v>40</v>
      </c>
    </row>
    <row r="763" spans="2:6" x14ac:dyDescent="0.25">
      <c r="B763" s="18" t="s">
        <v>11</v>
      </c>
      <c r="C763" s="19">
        <f>40924+(3*365)</f>
        <v>42019</v>
      </c>
      <c r="D763" s="18" t="s">
        <v>74</v>
      </c>
      <c r="E763" s="18" t="s">
        <v>66</v>
      </c>
      <c r="F763" s="21">
        <v>2208</v>
      </c>
    </row>
    <row r="764" spans="2:6" x14ac:dyDescent="0.25">
      <c r="B764" s="18" t="s">
        <v>8</v>
      </c>
      <c r="C764" s="19">
        <f>40535+(3*365)</f>
        <v>41630</v>
      </c>
      <c r="D764" s="18" t="s">
        <v>81</v>
      </c>
      <c r="E764" s="18" t="s">
        <v>69</v>
      </c>
      <c r="F764" s="21">
        <v>2688</v>
      </c>
    </row>
    <row r="765" spans="2:6" x14ac:dyDescent="0.25">
      <c r="B765" s="18" t="s">
        <v>31</v>
      </c>
      <c r="C765" s="19">
        <f>40738+(3*365)</f>
        <v>41833</v>
      </c>
      <c r="D765" s="18" t="s">
        <v>70</v>
      </c>
      <c r="E765" s="18" t="s">
        <v>75</v>
      </c>
      <c r="F765" s="21">
        <v>351</v>
      </c>
    </row>
    <row r="766" spans="2:6" x14ac:dyDescent="0.25">
      <c r="B766" s="18" t="s">
        <v>18</v>
      </c>
      <c r="C766" s="19">
        <f>40309+(3*365)</f>
        <v>41404</v>
      </c>
      <c r="D766" s="18" t="s">
        <v>71</v>
      </c>
      <c r="E766" s="18" t="s">
        <v>66</v>
      </c>
      <c r="F766" s="21">
        <v>2106</v>
      </c>
    </row>
    <row r="767" spans="2:6" x14ac:dyDescent="0.25">
      <c r="B767" s="18" t="s">
        <v>25</v>
      </c>
      <c r="C767" s="19">
        <f>41249+(3*365)</f>
        <v>42344</v>
      </c>
      <c r="D767" s="18" t="s">
        <v>78</v>
      </c>
      <c r="E767" s="18" t="s">
        <v>61</v>
      </c>
      <c r="F767" s="21">
        <v>1056</v>
      </c>
    </row>
    <row r="768" spans="2:6" x14ac:dyDescent="0.25">
      <c r="B768" s="18" t="s">
        <v>8</v>
      </c>
      <c r="C768" s="19">
        <f>40604+(3*365)</f>
        <v>41699</v>
      </c>
      <c r="D768" s="18" t="s">
        <v>77</v>
      </c>
      <c r="E768" s="18" t="s">
        <v>64</v>
      </c>
      <c r="F768" s="21">
        <v>4336</v>
      </c>
    </row>
    <row r="769" spans="2:6" x14ac:dyDescent="0.25">
      <c r="B769" s="18" t="s">
        <v>18</v>
      </c>
      <c r="C769" s="19">
        <f>41115+(3*365)</f>
        <v>42210</v>
      </c>
      <c r="D769" s="18" t="s">
        <v>71</v>
      </c>
      <c r="E769" s="18" t="s">
        <v>72</v>
      </c>
      <c r="F769" s="21">
        <v>558</v>
      </c>
    </row>
    <row r="770" spans="2:6" x14ac:dyDescent="0.25">
      <c r="B770" s="18" t="s">
        <v>9</v>
      </c>
      <c r="C770" s="19">
        <f>40618+(3*365)</f>
        <v>41713</v>
      </c>
      <c r="D770" s="18" t="s">
        <v>80</v>
      </c>
      <c r="E770" s="18" t="s">
        <v>61</v>
      </c>
      <c r="F770" s="21">
        <v>1566</v>
      </c>
    </row>
    <row r="771" spans="2:6" x14ac:dyDescent="0.25">
      <c r="B771" s="18" t="s">
        <v>31</v>
      </c>
      <c r="C771" s="19">
        <f>41153+(3*365)</f>
        <v>42248</v>
      </c>
      <c r="D771" s="18" t="s">
        <v>70</v>
      </c>
      <c r="E771" s="18" t="s">
        <v>61</v>
      </c>
      <c r="F771" s="21">
        <v>648</v>
      </c>
    </row>
    <row r="772" spans="2:6" x14ac:dyDescent="0.25">
      <c r="B772" s="18" t="s">
        <v>21</v>
      </c>
      <c r="C772" s="19">
        <f>41244+(3*365)</f>
        <v>42339</v>
      </c>
      <c r="D772" s="18" t="s">
        <v>73</v>
      </c>
      <c r="E772" s="18" t="s">
        <v>59</v>
      </c>
      <c r="F772" s="21">
        <v>792</v>
      </c>
    </row>
    <row r="773" spans="2:6" x14ac:dyDescent="0.25">
      <c r="B773" s="18" t="s">
        <v>8</v>
      </c>
      <c r="C773" s="19">
        <f>40808+(3*365)</f>
        <v>41903</v>
      </c>
      <c r="D773" s="18" t="s">
        <v>81</v>
      </c>
      <c r="E773" s="18" t="s">
        <v>61</v>
      </c>
      <c r="F773" s="21">
        <v>240</v>
      </c>
    </row>
    <row r="774" spans="2:6" x14ac:dyDescent="0.25">
      <c r="B774" s="18" t="s">
        <v>11</v>
      </c>
      <c r="C774" s="19">
        <f>40291+(3*365)</f>
        <v>41386</v>
      </c>
      <c r="D774" s="18" t="s">
        <v>74</v>
      </c>
      <c r="E774" s="18" t="s">
        <v>64</v>
      </c>
      <c r="F774" s="21">
        <v>11862</v>
      </c>
    </row>
    <row r="775" spans="2:6" x14ac:dyDescent="0.25">
      <c r="B775" s="18" t="s">
        <v>9</v>
      </c>
      <c r="C775" s="19">
        <f>40973+(3*365)</f>
        <v>42068</v>
      </c>
      <c r="D775" s="18" t="s">
        <v>62</v>
      </c>
      <c r="E775" s="18" t="s">
        <v>59</v>
      </c>
      <c r="F775" s="21">
        <v>92</v>
      </c>
    </row>
    <row r="776" spans="2:6" x14ac:dyDescent="0.25">
      <c r="B776" s="18" t="s">
        <v>21</v>
      </c>
      <c r="C776" s="19">
        <f>40830+(3*365)</f>
        <v>41925</v>
      </c>
      <c r="D776" s="18" t="s">
        <v>73</v>
      </c>
      <c r="E776" s="18" t="s">
        <v>61</v>
      </c>
      <c r="F776" s="21">
        <v>615</v>
      </c>
    </row>
    <row r="777" spans="2:6" x14ac:dyDescent="0.25">
      <c r="B777" s="18" t="s">
        <v>10</v>
      </c>
      <c r="C777" s="19">
        <f>39852+(3*365)</f>
        <v>40947</v>
      </c>
      <c r="D777" s="18" t="s">
        <v>65</v>
      </c>
      <c r="E777" s="18" t="s">
        <v>72</v>
      </c>
      <c r="F777" s="21">
        <v>192</v>
      </c>
    </row>
    <row r="778" spans="2:6" x14ac:dyDescent="0.25">
      <c r="B778" s="18" t="s">
        <v>8</v>
      </c>
      <c r="C778" s="19">
        <f>40114+(3*365)</f>
        <v>41209</v>
      </c>
      <c r="D778" s="18" t="s">
        <v>77</v>
      </c>
      <c r="E778" s="18" t="s">
        <v>75</v>
      </c>
      <c r="F778" s="21">
        <v>180</v>
      </c>
    </row>
    <row r="779" spans="2:6" x14ac:dyDescent="0.25">
      <c r="B779" s="18" t="s">
        <v>21</v>
      </c>
      <c r="C779" s="19">
        <f>40824+(3*365)</f>
        <v>41919</v>
      </c>
      <c r="D779" s="18" t="s">
        <v>58</v>
      </c>
      <c r="E779" s="18" t="s">
        <v>66</v>
      </c>
      <c r="F779" s="21">
        <v>1272</v>
      </c>
    </row>
    <row r="780" spans="2:6" x14ac:dyDescent="0.25">
      <c r="B780" s="18" t="s">
        <v>10</v>
      </c>
      <c r="C780" s="19">
        <f>40927+(3*365)</f>
        <v>42022</v>
      </c>
      <c r="D780" s="18" t="s">
        <v>65</v>
      </c>
      <c r="E780" s="18" t="s">
        <v>64</v>
      </c>
      <c r="F780" s="21">
        <v>1446</v>
      </c>
    </row>
    <row r="781" spans="2:6" x14ac:dyDescent="0.25">
      <c r="B781" s="18" t="s">
        <v>9</v>
      </c>
      <c r="C781" s="19">
        <f>39996+(3*365)</f>
        <v>41091</v>
      </c>
      <c r="D781" s="18" t="s">
        <v>62</v>
      </c>
      <c r="E781" s="18" t="s">
        <v>69</v>
      </c>
      <c r="F781" s="21">
        <v>1476</v>
      </c>
    </row>
    <row r="782" spans="2:6" x14ac:dyDescent="0.25">
      <c r="B782" s="18" t="s">
        <v>10</v>
      </c>
      <c r="C782" s="19">
        <f>40039+(3*365)</f>
        <v>41134</v>
      </c>
      <c r="D782" s="18" t="s">
        <v>67</v>
      </c>
      <c r="E782" s="18" t="s">
        <v>63</v>
      </c>
      <c r="F782" s="21">
        <v>816</v>
      </c>
    </row>
    <row r="783" spans="2:6" x14ac:dyDescent="0.25">
      <c r="B783" s="18" t="s">
        <v>8</v>
      </c>
      <c r="C783" s="19">
        <f>39826+(3*365)</f>
        <v>40921</v>
      </c>
      <c r="D783" s="18" t="s">
        <v>77</v>
      </c>
      <c r="E783" s="18" t="s">
        <v>72</v>
      </c>
      <c r="F783" s="21">
        <v>576</v>
      </c>
    </row>
    <row r="784" spans="2:6" x14ac:dyDescent="0.25">
      <c r="B784" s="18" t="s">
        <v>21</v>
      </c>
      <c r="C784" s="19">
        <f>40973+(3*365)</f>
        <v>42068</v>
      </c>
      <c r="D784" s="18" t="s">
        <v>58</v>
      </c>
      <c r="E784" s="18" t="s">
        <v>66</v>
      </c>
      <c r="F784" s="21">
        <v>1736</v>
      </c>
    </row>
    <row r="785" spans="2:6" x14ac:dyDescent="0.25">
      <c r="B785" s="18" t="s">
        <v>9</v>
      </c>
      <c r="C785" s="19">
        <f>40628+(3*365)</f>
        <v>41723</v>
      </c>
      <c r="D785" s="18" t="s">
        <v>62</v>
      </c>
      <c r="E785" s="18" t="s">
        <v>72</v>
      </c>
      <c r="F785" s="21">
        <v>5004</v>
      </c>
    </row>
    <row r="786" spans="2:6" x14ac:dyDescent="0.25">
      <c r="B786" s="18" t="s">
        <v>9</v>
      </c>
      <c r="C786" s="19">
        <f>40084+(3*365)</f>
        <v>41179</v>
      </c>
      <c r="D786" s="18" t="s">
        <v>80</v>
      </c>
      <c r="E786" s="18" t="s">
        <v>64</v>
      </c>
      <c r="F786" s="21">
        <v>578</v>
      </c>
    </row>
    <row r="787" spans="2:6" x14ac:dyDescent="0.25">
      <c r="B787" s="18" t="s">
        <v>10</v>
      </c>
      <c r="C787" s="19">
        <f>41072+(3*365)</f>
        <v>42167</v>
      </c>
      <c r="D787" s="18" t="s">
        <v>65</v>
      </c>
      <c r="E787" s="18" t="s">
        <v>66</v>
      </c>
      <c r="F787" s="21">
        <v>330</v>
      </c>
    </row>
    <row r="788" spans="2:6" x14ac:dyDescent="0.25">
      <c r="B788" s="18" t="s">
        <v>21</v>
      </c>
      <c r="C788" s="19">
        <f>41194+(3*365)</f>
        <v>42289</v>
      </c>
      <c r="D788" s="18" t="s">
        <v>58</v>
      </c>
      <c r="E788" s="18" t="s">
        <v>59</v>
      </c>
      <c r="F788" s="21">
        <v>608</v>
      </c>
    </row>
    <row r="789" spans="2:6" x14ac:dyDescent="0.25">
      <c r="B789" s="18" t="s">
        <v>10</v>
      </c>
      <c r="C789" s="19">
        <f>41180+(3*365)</f>
        <v>42275</v>
      </c>
      <c r="D789" s="18" t="s">
        <v>65</v>
      </c>
      <c r="E789" s="18" t="s">
        <v>59</v>
      </c>
      <c r="F789" s="21">
        <v>540</v>
      </c>
    </row>
    <row r="790" spans="2:6" x14ac:dyDescent="0.25">
      <c r="B790" s="18" t="s">
        <v>21</v>
      </c>
      <c r="C790" s="19">
        <f>40239+(3*365)</f>
        <v>41334</v>
      </c>
      <c r="D790" s="18" t="s">
        <v>73</v>
      </c>
      <c r="E790" s="18" t="s">
        <v>63</v>
      </c>
      <c r="F790" s="21">
        <v>240</v>
      </c>
    </row>
    <row r="791" spans="2:6" x14ac:dyDescent="0.25">
      <c r="B791" s="18" t="s">
        <v>9</v>
      </c>
      <c r="C791" s="19">
        <f>39967+(3*365)</f>
        <v>41062</v>
      </c>
      <c r="D791" s="18" t="s">
        <v>80</v>
      </c>
      <c r="E791" s="18" t="s">
        <v>72</v>
      </c>
      <c r="F791" s="21">
        <v>4608</v>
      </c>
    </row>
    <row r="792" spans="2:6" x14ac:dyDescent="0.25">
      <c r="B792" s="18" t="s">
        <v>25</v>
      </c>
      <c r="C792" s="19">
        <f>41042+(3*365)</f>
        <v>42137</v>
      </c>
      <c r="D792" s="18" t="s">
        <v>79</v>
      </c>
      <c r="E792" s="18" t="s">
        <v>69</v>
      </c>
      <c r="F792" s="21">
        <v>1776</v>
      </c>
    </row>
    <row r="793" spans="2:6" x14ac:dyDescent="0.25">
      <c r="B793" s="18" t="s">
        <v>25</v>
      </c>
      <c r="C793" s="19">
        <f>40141+(3*365)</f>
        <v>41236</v>
      </c>
      <c r="D793" s="18" t="s">
        <v>79</v>
      </c>
      <c r="E793" s="18" t="s">
        <v>66</v>
      </c>
      <c r="F793" s="21">
        <v>162</v>
      </c>
    </row>
    <row r="794" spans="2:6" x14ac:dyDescent="0.25">
      <c r="B794" s="18" t="s">
        <v>25</v>
      </c>
      <c r="C794" s="19">
        <f>40049+(3*365)</f>
        <v>41144</v>
      </c>
      <c r="D794" s="18" t="s">
        <v>79</v>
      </c>
      <c r="E794" s="18" t="s">
        <v>63</v>
      </c>
      <c r="F794" s="21">
        <v>168</v>
      </c>
    </row>
    <row r="795" spans="2:6" x14ac:dyDescent="0.25">
      <c r="B795" s="18" t="s">
        <v>9</v>
      </c>
      <c r="C795" s="19">
        <f>40627+(3*365)</f>
        <v>41722</v>
      </c>
      <c r="D795" s="18" t="s">
        <v>62</v>
      </c>
      <c r="E795" s="18" t="s">
        <v>64</v>
      </c>
      <c r="F795" s="21">
        <v>1389</v>
      </c>
    </row>
    <row r="796" spans="2:6" x14ac:dyDescent="0.25">
      <c r="B796" s="18" t="s">
        <v>11</v>
      </c>
      <c r="C796" s="19">
        <f>40055+(3*365)</f>
        <v>41150</v>
      </c>
      <c r="D796" s="18" t="s">
        <v>60</v>
      </c>
      <c r="E796" s="18" t="s">
        <v>72</v>
      </c>
      <c r="F796" s="21">
        <v>3591</v>
      </c>
    </row>
    <row r="797" spans="2:6" x14ac:dyDescent="0.25">
      <c r="B797" s="18" t="s">
        <v>21</v>
      </c>
      <c r="C797" s="19">
        <f>40456+(3*365)</f>
        <v>41551</v>
      </c>
      <c r="D797" s="18" t="s">
        <v>73</v>
      </c>
      <c r="E797" s="18" t="s">
        <v>72</v>
      </c>
      <c r="F797" s="21">
        <v>960</v>
      </c>
    </row>
    <row r="798" spans="2:6" x14ac:dyDescent="0.25">
      <c r="B798" s="18" t="s">
        <v>31</v>
      </c>
      <c r="C798" s="19">
        <f>40678+(3*365)</f>
        <v>41773</v>
      </c>
      <c r="D798" s="18" t="s">
        <v>76</v>
      </c>
      <c r="E798" s="18" t="s">
        <v>59</v>
      </c>
      <c r="F798" s="21">
        <v>576</v>
      </c>
    </row>
    <row r="799" spans="2:6" x14ac:dyDescent="0.25">
      <c r="B799" s="18" t="s">
        <v>11</v>
      </c>
      <c r="C799" s="19">
        <f>40177+(3*365)</f>
        <v>41272</v>
      </c>
      <c r="D799" s="18" t="s">
        <v>74</v>
      </c>
      <c r="E799" s="18" t="s">
        <v>75</v>
      </c>
      <c r="F799" s="21">
        <v>135</v>
      </c>
    </row>
    <row r="800" spans="2:6" x14ac:dyDescent="0.25">
      <c r="B800" s="18" t="s">
        <v>8</v>
      </c>
      <c r="C800" s="19">
        <f>39976+(3*365)</f>
        <v>41071</v>
      </c>
      <c r="D800" s="18" t="s">
        <v>81</v>
      </c>
      <c r="E800" s="18" t="s">
        <v>69</v>
      </c>
      <c r="F800" s="21">
        <v>4116</v>
      </c>
    </row>
    <row r="801" spans="2:6" x14ac:dyDescent="0.25">
      <c r="B801" s="18" t="s">
        <v>31</v>
      </c>
      <c r="C801" s="19">
        <f>40138+(3*365)</f>
        <v>41233</v>
      </c>
      <c r="D801" s="18" t="s">
        <v>70</v>
      </c>
      <c r="E801" s="18" t="s">
        <v>66</v>
      </c>
      <c r="F801" s="21">
        <v>720</v>
      </c>
    </row>
    <row r="802" spans="2:6" x14ac:dyDescent="0.25">
      <c r="B802" s="18" t="s">
        <v>21</v>
      </c>
      <c r="C802" s="19">
        <f>40461+(3*365)</f>
        <v>41556</v>
      </c>
      <c r="D802" s="18" t="s">
        <v>58</v>
      </c>
      <c r="E802" s="18" t="s">
        <v>63</v>
      </c>
      <c r="F802" s="21">
        <v>160</v>
      </c>
    </row>
    <row r="803" spans="2:6" x14ac:dyDescent="0.25">
      <c r="B803" s="18" t="s">
        <v>21</v>
      </c>
      <c r="C803" s="19">
        <f>41171+(3*365)</f>
        <v>42266</v>
      </c>
      <c r="D803" s="18" t="s">
        <v>58</v>
      </c>
      <c r="E803" s="18" t="s">
        <v>66</v>
      </c>
      <c r="F803" s="21">
        <v>536</v>
      </c>
    </row>
    <row r="804" spans="2:6" x14ac:dyDescent="0.25">
      <c r="B804" s="18" t="s">
        <v>31</v>
      </c>
      <c r="C804" s="19">
        <f>39832+(3*365)</f>
        <v>40927</v>
      </c>
      <c r="D804" s="18" t="s">
        <v>76</v>
      </c>
      <c r="E804" s="18" t="s">
        <v>72</v>
      </c>
      <c r="F804" s="21">
        <v>2064</v>
      </c>
    </row>
    <row r="805" spans="2:6" x14ac:dyDescent="0.25">
      <c r="B805" s="18" t="s">
        <v>10</v>
      </c>
      <c r="C805" s="19">
        <f>39815+(3*365)</f>
        <v>40910</v>
      </c>
      <c r="D805" s="18" t="s">
        <v>67</v>
      </c>
      <c r="E805" s="18" t="s">
        <v>69</v>
      </c>
      <c r="F805" s="21">
        <v>3744</v>
      </c>
    </row>
    <row r="806" spans="2:6" x14ac:dyDescent="0.25">
      <c r="B806" s="18" t="s">
        <v>10</v>
      </c>
      <c r="C806" s="19">
        <f>40030+(3*365)</f>
        <v>41125</v>
      </c>
      <c r="D806" s="18" t="s">
        <v>67</v>
      </c>
      <c r="E806" s="18" t="s">
        <v>63</v>
      </c>
      <c r="F806" s="21">
        <v>1320</v>
      </c>
    </row>
    <row r="807" spans="2:6" x14ac:dyDescent="0.25">
      <c r="B807" s="18" t="s">
        <v>8</v>
      </c>
      <c r="C807" s="19">
        <f>41047+(3*365)</f>
        <v>42142</v>
      </c>
      <c r="D807" s="18" t="s">
        <v>77</v>
      </c>
      <c r="E807" s="18" t="s">
        <v>69</v>
      </c>
      <c r="F807" s="21">
        <v>1664</v>
      </c>
    </row>
    <row r="808" spans="2:6" x14ac:dyDescent="0.25">
      <c r="B808" s="18" t="s">
        <v>10</v>
      </c>
      <c r="C808" s="19">
        <f>40159+(3*365)</f>
        <v>41254</v>
      </c>
      <c r="D808" s="18" t="s">
        <v>67</v>
      </c>
      <c r="E808" s="18" t="s">
        <v>75</v>
      </c>
      <c r="F808" s="21">
        <v>280</v>
      </c>
    </row>
    <row r="809" spans="2:6" x14ac:dyDescent="0.25">
      <c r="B809" s="18" t="s">
        <v>9</v>
      </c>
      <c r="C809" s="19">
        <f>39847+(3*365)</f>
        <v>40942</v>
      </c>
      <c r="D809" s="18" t="s">
        <v>80</v>
      </c>
      <c r="E809" s="18" t="s">
        <v>59</v>
      </c>
      <c r="F809" s="21">
        <v>324</v>
      </c>
    </row>
    <row r="810" spans="2:6" x14ac:dyDescent="0.25">
      <c r="B810" s="18" t="s">
        <v>18</v>
      </c>
      <c r="C810" s="19">
        <f>40265+(3*365)</f>
        <v>41360</v>
      </c>
      <c r="D810" s="18" t="s">
        <v>71</v>
      </c>
      <c r="E810" s="18" t="s">
        <v>75</v>
      </c>
      <c r="F810" s="21">
        <v>624</v>
      </c>
    </row>
    <row r="811" spans="2:6" x14ac:dyDescent="0.25">
      <c r="B811" s="18" t="s">
        <v>18</v>
      </c>
      <c r="C811" s="19">
        <f>40934+(3*365)</f>
        <v>42029</v>
      </c>
      <c r="D811" s="18" t="s">
        <v>68</v>
      </c>
      <c r="E811" s="18" t="s">
        <v>66</v>
      </c>
      <c r="F811" s="21">
        <v>297</v>
      </c>
    </row>
    <row r="812" spans="2:6" x14ac:dyDescent="0.25">
      <c r="B812" s="18" t="s">
        <v>25</v>
      </c>
      <c r="C812" s="19">
        <f>40572+(3*365)</f>
        <v>41667</v>
      </c>
      <c r="D812" s="18" t="s">
        <v>79</v>
      </c>
      <c r="E812" s="18" t="s">
        <v>63</v>
      </c>
      <c r="F812" s="21">
        <v>768</v>
      </c>
    </row>
    <row r="813" spans="2:6" x14ac:dyDescent="0.25">
      <c r="B813" s="18" t="s">
        <v>25</v>
      </c>
      <c r="C813" s="19">
        <f>40684+(3*365)</f>
        <v>41779</v>
      </c>
      <c r="D813" s="18" t="s">
        <v>78</v>
      </c>
      <c r="E813" s="18" t="s">
        <v>72</v>
      </c>
      <c r="F813" s="21">
        <v>4096</v>
      </c>
    </row>
    <row r="814" spans="2:6" x14ac:dyDescent="0.25">
      <c r="B814" s="18" t="s">
        <v>31</v>
      </c>
      <c r="C814" s="19">
        <f>40236+(3*365)</f>
        <v>41331</v>
      </c>
      <c r="D814" s="18" t="s">
        <v>76</v>
      </c>
      <c r="E814" s="18" t="s">
        <v>63</v>
      </c>
      <c r="F814" s="21">
        <v>126</v>
      </c>
    </row>
    <row r="815" spans="2:6" x14ac:dyDescent="0.25">
      <c r="B815" s="18" t="s">
        <v>10</v>
      </c>
      <c r="C815" s="19">
        <f>39964+(3*365)</f>
        <v>41059</v>
      </c>
      <c r="D815" s="18" t="s">
        <v>65</v>
      </c>
      <c r="E815" s="18" t="s">
        <v>63</v>
      </c>
      <c r="F815" s="21">
        <v>1160</v>
      </c>
    </row>
    <row r="816" spans="2:6" x14ac:dyDescent="0.25">
      <c r="B816" s="18" t="s">
        <v>9</v>
      </c>
      <c r="C816" s="19">
        <f>40291+(3*365)</f>
        <v>41386</v>
      </c>
      <c r="D816" s="18" t="s">
        <v>62</v>
      </c>
      <c r="E816" s="18" t="s">
        <v>64</v>
      </c>
      <c r="F816" s="21">
        <v>6540</v>
      </c>
    </row>
    <row r="817" spans="2:6" x14ac:dyDescent="0.25">
      <c r="B817" s="18" t="s">
        <v>10</v>
      </c>
      <c r="C817" s="19">
        <f>41095+(3*365)</f>
        <v>42190</v>
      </c>
      <c r="D817" s="18" t="s">
        <v>67</v>
      </c>
      <c r="E817" s="18" t="s">
        <v>64</v>
      </c>
      <c r="F817" s="21">
        <v>2070</v>
      </c>
    </row>
    <row r="818" spans="2:6" x14ac:dyDescent="0.25">
      <c r="B818" s="18" t="s">
        <v>21</v>
      </c>
      <c r="C818" s="19">
        <f>40491+(3*365)</f>
        <v>41586</v>
      </c>
      <c r="D818" s="18" t="s">
        <v>58</v>
      </c>
      <c r="E818" s="18" t="s">
        <v>72</v>
      </c>
      <c r="F818" s="21">
        <v>880</v>
      </c>
    </row>
    <row r="819" spans="2:6" x14ac:dyDescent="0.25">
      <c r="B819" s="18" t="s">
        <v>31</v>
      </c>
      <c r="C819" s="19">
        <f>39931+(3*365)</f>
        <v>41026</v>
      </c>
      <c r="D819" s="18" t="s">
        <v>76</v>
      </c>
      <c r="E819" s="18" t="s">
        <v>59</v>
      </c>
      <c r="F819" s="21">
        <v>252</v>
      </c>
    </row>
    <row r="820" spans="2:6" x14ac:dyDescent="0.25">
      <c r="B820" s="18" t="s">
        <v>11</v>
      </c>
      <c r="C820" s="19">
        <f>39952+(3*365)</f>
        <v>41047</v>
      </c>
      <c r="D820" s="18" t="s">
        <v>74</v>
      </c>
      <c r="E820" s="18" t="s">
        <v>64</v>
      </c>
      <c r="F820" s="21">
        <v>7752</v>
      </c>
    </row>
    <row r="821" spans="2:6" x14ac:dyDescent="0.25">
      <c r="B821" s="18" t="s">
        <v>10</v>
      </c>
      <c r="C821" s="19">
        <f>41202+(3*365)</f>
        <v>42297</v>
      </c>
      <c r="D821" s="18" t="s">
        <v>65</v>
      </c>
      <c r="E821" s="18" t="s">
        <v>66</v>
      </c>
      <c r="F821" s="21">
        <v>1320</v>
      </c>
    </row>
    <row r="822" spans="2:6" x14ac:dyDescent="0.25">
      <c r="B822" s="18" t="s">
        <v>18</v>
      </c>
      <c r="C822" s="19">
        <f>40629+(3*365)</f>
        <v>41724</v>
      </c>
      <c r="D822" s="18" t="s">
        <v>68</v>
      </c>
      <c r="E822" s="18" t="s">
        <v>63</v>
      </c>
      <c r="F822" s="21">
        <v>720</v>
      </c>
    </row>
    <row r="823" spans="2:6" x14ac:dyDescent="0.25">
      <c r="B823" s="18" t="s">
        <v>8</v>
      </c>
      <c r="C823" s="19">
        <f>40245+(3*365)</f>
        <v>41340</v>
      </c>
      <c r="D823" s="18" t="s">
        <v>81</v>
      </c>
      <c r="E823" s="18" t="s">
        <v>66</v>
      </c>
      <c r="F823" s="21">
        <v>280</v>
      </c>
    </row>
    <row r="824" spans="2:6" x14ac:dyDescent="0.25">
      <c r="B824" s="18" t="s">
        <v>9</v>
      </c>
      <c r="C824" s="19">
        <f>40774+(3*365)</f>
        <v>41869</v>
      </c>
      <c r="D824" s="18" t="s">
        <v>80</v>
      </c>
      <c r="E824" s="18" t="s">
        <v>72</v>
      </c>
      <c r="F824" s="21">
        <v>408</v>
      </c>
    </row>
    <row r="825" spans="2:6" x14ac:dyDescent="0.25">
      <c r="B825" s="18" t="s">
        <v>8</v>
      </c>
      <c r="C825" s="19">
        <f>40443+(3*365)</f>
        <v>41538</v>
      </c>
      <c r="D825" s="18" t="s">
        <v>81</v>
      </c>
      <c r="E825" s="18" t="s">
        <v>66</v>
      </c>
      <c r="F825" s="21">
        <v>1820</v>
      </c>
    </row>
    <row r="826" spans="2:6" x14ac:dyDescent="0.25">
      <c r="B826" s="18" t="s">
        <v>25</v>
      </c>
      <c r="C826" s="19">
        <f>40144+(3*365)</f>
        <v>41239</v>
      </c>
      <c r="D826" s="18" t="s">
        <v>79</v>
      </c>
      <c r="E826" s="18" t="s">
        <v>61</v>
      </c>
      <c r="F826" s="21">
        <v>304</v>
      </c>
    </row>
    <row r="827" spans="2:6" x14ac:dyDescent="0.25">
      <c r="B827" s="18" t="s">
        <v>25</v>
      </c>
      <c r="C827" s="19">
        <f>40531+(3*365)</f>
        <v>41626</v>
      </c>
      <c r="D827" s="18" t="s">
        <v>78</v>
      </c>
      <c r="E827" s="18" t="s">
        <v>75</v>
      </c>
      <c r="F827" s="21">
        <v>216</v>
      </c>
    </row>
    <row r="828" spans="2:6" x14ac:dyDescent="0.25">
      <c r="B828" s="18" t="s">
        <v>10</v>
      </c>
      <c r="C828" s="19">
        <f>40219+(3*365)</f>
        <v>41314</v>
      </c>
      <c r="D828" s="18" t="s">
        <v>67</v>
      </c>
      <c r="E828" s="18" t="s">
        <v>66</v>
      </c>
      <c r="F828" s="21">
        <v>120</v>
      </c>
    </row>
    <row r="829" spans="2:6" x14ac:dyDescent="0.25">
      <c r="B829" s="18" t="s">
        <v>25</v>
      </c>
      <c r="C829" s="19">
        <f>41131+(3*365)</f>
        <v>42226</v>
      </c>
      <c r="D829" s="18" t="s">
        <v>79</v>
      </c>
      <c r="E829" s="18" t="s">
        <v>61</v>
      </c>
      <c r="F829" s="21">
        <v>1224</v>
      </c>
    </row>
    <row r="830" spans="2:6" x14ac:dyDescent="0.25">
      <c r="B830" s="18" t="s">
        <v>9</v>
      </c>
      <c r="C830" s="19">
        <f>41267+(3*365)</f>
        <v>42362</v>
      </c>
      <c r="D830" s="18" t="s">
        <v>80</v>
      </c>
      <c r="E830" s="18" t="s">
        <v>59</v>
      </c>
      <c r="F830" s="21">
        <v>148</v>
      </c>
    </row>
    <row r="831" spans="2:6" x14ac:dyDescent="0.25">
      <c r="B831" s="18" t="s">
        <v>31</v>
      </c>
      <c r="C831" s="19">
        <f>40893+(3*365)</f>
        <v>41988</v>
      </c>
      <c r="D831" s="18" t="s">
        <v>76</v>
      </c>
      <c r="E831" s="18" t="s">
        <v>59</v>
      </c>
      <c r="F831" s="21">
        <v>342</v>
      </c>
    </row>
    <row r="832" spans="2:6" x14ac:dyDescent="0.25">
      <c r="B832" s="18" t="s">
        <v>8</v>
      </c>
      <c r="C832" s="19">
        <f>40683+(3*365)</f>
        <v>41778</v>
      </c>
      <c r="D832" s="18" t="s">
        <v>77</v>
      </c>
      <c r="E832" s="18" t="s">
        <v>69</v>
      </c>
      <c r="F832" s="21">
        <v>628</v>
      </c>
    </row>
    <row r="833" spans="2:6" x14ac:dyDescent="0.25">
      <c r="B833" s="18" t="s">
        <v>8</v>
      </c>
      <c r="C833" s="19">
        <f>40524+(3*365)</f>
        <v>41619</v>
      </c>
      <c r="D833" s="18" t="s">
        <v>77</v>
      </c>
      <c r="E833" s="18" t="s">
        <v>61</v>
      </c>
      <c r="F833" s="21">
        <v>1484</v>
      </c>
    </row>
    <row r="834" spans="2:6" x14ac:dyDescent="0.25">
      <c r="B834" s="18" t="s">
        <v>11</v>
      </c>
      <c r="C834" s="19">
        <f>40298+(3*365)</f>
        <v>41393</v>
      </c>
      <c r="D834" s="18" t="s">
        <v>60</v>
      </c>
      <c r="E834" s="18" t="s">
        <v>61</v>
      </c>
      <c r="F834" s="21">
        <v>1617</v>
      </c>
    </row>
    <row r="835" spans="2:6" x14ac:dyDescent="0.25">
      <c r="B835" s="18" t="s">
        <v>18</v>
      </c>
      <c r="C835" s="19">
        <f>40602+(3*365)</f>
        <v>41697</v>
      </c>
      <c r="D835" s="18" t="s">
        <v>68</v>
      </c>
      <c r="E835" s="18" t="s">
        <v>64</v>
      </c>
      <c r="F835" s="21">
        <v>12720</v>
      </c>
    </row>
    <row r="836" spans="2:6" x14ac:dyDescent="0.25">
      <c r="B836" s="18" t="s">
        <v>11</v>
      </c>
      <c r="C836" s="19">
        <f>40798+(3*365)</f>
        <v>41893</v>
      </c>
      <c r="D836" s="18" t="s">
        <v>74</v>
      </c>
      <c r="E836" s="18" t="s">
        <v>59</v>
      </c>
      <c r="F836" s="21">
        <v>399</v>
      </c>
    </row>
    <row r="837" spans="2:6" x14ac:dyDescent="0.25">
      <c r="B837" s="18" t="s">
        <v>25</v>
      </c>
      <c r="C837" s="19">
        <f>40942+(3*365)</f>
        <v>42037</v>
      </c>
      <c r="D837" s="18" t="s">
        <v>79</v>
      </c>
      <c r="E837" s="18" t="s">
        <v>69</v>
      </c>
      <c r="F837" s="21">
        <v>256</v>
      </c>
    </row>
    <row r="838" spans="2:6" x14ac:dyDescent="0.25">
      <c r="B838" s="18" t="s">
        <v>18</v>
      </c>
      <c r="C838" s="19">
        <f>41049+(3*365)</f>
        <v>42144</v>
      </c>
      <c r="D838" s="18" t="s">
        <v>71</v>
      </c>
      <c r="E838" s="18" t="s">
        <v>66</v>
      </c>
      <c r="F838" s="21">
        <v>351</v>
      </c>
    </row>
    <row r="839" spans="2:6" x14ac:dyDescent="0.25">
      <c r="B839" s="18" t="s">
        <v>8</v>
      </c>
      <c r="C839" s="19">
        <f>40669+(3*365)</f>
        <v>41764</v>
      </c>
      <c r="D839" s="18" t="s">
        <v>77</v>
      </c>
      <c r="E839" s="18" t="s">
        <v>59</v>
      </c>
      <c r="F839" s="21">
        <v>560</v>
      </c>
    </row>
    <row r="840" spans="2:6" x14ac:dyDescent="0.25">
      <c r="B840" s="18" t="s">
        <v>31</v>
      </c>
      <c r="C840" s="19">
        <f>40385+(3*365)</f>
        <v>41480</v>
      </c>
      <c r="D840" s="18" t="s">
        <v>76</v>
      </c>
      <c r="E840" s="18" t="s">
        <v>63</v>
      </c>
      <c r="F840" s="21">
        <v>435</v>
      </c>
    </row>
    <row r="841" spans="2:6" x14ac:dyDescent="0.25">
      <c r="B841" s="18" t="s">
        <v>9</v>
      </c>
      <c r="C841" s="19">
        <f>40947+(3*365)</f>
        <v>42042</v>
      </c>
      <c r="D841" s="18" t="s">
        <v>80</v>
      </c>
      <c r="E841" s="18" t="s">
        <v>72</v>
      </c>
      <c r="F841" s="21">
        <v>20</v>
      </c>
    </row>
    <row r="842" spans="2:6" x14ac:dyDescent="0.25">
      <c r="B842" s="18" t="s">
        <v>8</v>
      </c>
      <c r="C842" s="19">
        <f>40856+(3*365)</f>
        <v>41951</v>
      </c>
      <c r="D842" s="18" t="s">
        <v>81</v>
      </c>
      <c r="E842" s="18" t="s">
        <v>69</v>
      </c>
      <c r="F842" s="21">
        <v>3240</v>
      </c>
    </row>
    <row r="843" spans="2:6" x14ac:dyDescent="0.25">
      <c r="B843" s="18" t="s">
        <v>8</v>
      </c>
      <c r="C843" s="19">
        <f>40937+(3*365)</f>
        <v>42032</v>
      </c>
      <c r="D843" s="18" t="s">
        <v>81</v>
      </c>
      <c r="E843" s="18" t="s">
        <v>59</v>
      </c>
      <c r="F843" s="21">
        <v>900</v>
      </c>
    </row>
    <row r="844" spans="2:6" x14ac:dyDescent="0.25">
      <c r="B844" s="18" t="s">
        <v>18</v>
      </c>
      <c r="C844" s="19">
        <f>40000+(3*365)</f>
        <v>41095</v>
      </c>
      <c r="D844" s="18" t="s">
        <v>68</v>
      </c>
      <c r="E844" s="18" t="s">
        <v>66</v>
      </c>
      <c r="F844" s="21">
        <v>282</v>
      </c>
    </row>
    <row r="845" spans="2:6" x14ac:dyDescent="0.25">
      <c r="B845" s="18" t="s">
        <v>31</v>
      </c>
      <c r="C845" s="19">
        <f>40259+(3*365)</f>
        <v>41354</v>
      </c>
      <c r="D845" s="18" t="s">
        <v>76</v>
      </c>
      <c r="E845" s="18" t="s">
        <v>64</v>
      </c>
      <c r="F845" s="21">
        <v>10575</v>
      </c>
    </row>
    <row r="846" spans="2:6" x14ac:dyDescent="0.25">
      <c r="B846" s="18" t="s">
        <v>9</v>
      </c>
      <c r="C846" s="19">
        <f>40152+(3*365)</f>
        <v>41247</v>
      </c>
      <c r="D846" s="18" t="s">
        <v>80</v>
      </c>
      <c r="E846" s="18" t="s">
        <v>66</v>
      </c>
      <c r="F846" s="21">
        <v>936</v>
      </c>
    </row>
    <row r="847" spans="2:6" x14ac:dyDescent="0.25">
      <c r="B847" s="18" t="s">
        <v>18</v>
      </c>
      <c r="C847" s="19">
        <f>40718+(3*365)</f>
        <v>41813</v>
      </c>
      <c r="D847" s="18" t="s">
        <v>71</v>
      </c>
      <c r="E847" s="18" t="s">
        <v>69</v>
      </c>
      <c r="F847" s="21">
        <v>576</v>
      </c>
    </row>
    <row r="848" spans="2:6" x14ac:dyDescent="0.25">
      <c r="B848" s="18" t="s">
        <v>25</v>
      </c>
      <c r="C848" s="19">
        <f>40898+(3*365)</f>
        <v>41993</v>
      </c>
      <c r="D848" s="18" t="s">
        <v>78</v>
      </c>
      <c r="E848" s="18" t="s">
        <v>66</v>
      </c>
      <c r="F848" s="21">
        <v>544</v>
      </c>
    </row>
    <row r="849" spans="2:6" x14ac:dyDescent="0.25">
      <c r="B849" s="18" t="s">
        <v>18</v>
      </c>
      <c r="C849" s="19">
        <f>40973+(3*365)</f>
        <v>42068</v>
      </c>
      <c r="D849" s="18" t="s">
        <v>68</v>
      </c>
      <c r="E849" s="18" t="s">
        <v>66</v>
      </c>
      <c r="F849" s="21">
        <v>840</v>
      </c>
    </row>
    <row r="850" spans="2:6" x14ac:dyDescent="0.25">
      <c r="B850" s="18" t="s">
        <v>11</v>
      </c>
      <c r="C850" s="19">
        <f>41105+(3*365)</f>
        <v>42200</v>
      </c>
      <c r="D850" s="18" t="s">
        <v>60</v>
      </c>
      <c r="E850" s="18" t="s">
        <v>72</v>
      </c>
      <c r="F850" s="21">
        <v>1736</v>
      </c>
    </row>
    <row r="851" spans="2:6" x14ac:dyDescent="0.25">
      <c r="B851" s="18" t="s">
        <v>25</v>
      </c>
      <c r="C851" s="19">
        <f>40941+(3*365)</f>
        <v>42036</v>
      </c>
      <c r="D851" s="18" t="s">
        <v>78</v>
      </c>
      <c r="E851" s="18" t="s">
        <v>63</v>
      </c>
      <c r="F851" s="21">
        <v>928</v>
      </c>
    </row>
    <row r="852" spans="2:6" x14ac:dyDescent="0.25">
      <c r="B852" s="18" t="s">
        <v>21</v>
      </c>
      <c r="C852" s="19">
        <f>40504+(3*365)</f>
        <v>41599</v>
      </c>
      <c r="D852" s="18" t="s">
        <v>58</v>
      </c>
      <c r="E852" s="18" t="s">
        <v>61</v>
      </c>
      <c r="F852" s="21">
        <v>854</v>
      </c>
    </row>
    <row r="853" spans="2:6" x14ac:dyDescent="0.25">
      <c r="B853" s="18" t="s">
        <v>10</v>
      </c>
      <c r="C853" s="19">
        <f>40188+(3*365)</f>
        <v>41283</v>
      </c>
      <c r="D853" s="18" t="s">
        <v>67</v>
      </c>
      <c r="E853" s="18" t="s">
        <v>69</v>
      </c>
      <c r="F853" s="21">
        <v>3672</v>
      </c>
    </row>
    <row r="854" spans="2:6" x14ac:dyDescent="0.25">
      <c r="B854" s="18" t="s">
        <v>11</v>
      </c>
      <c r="C854" s="19">
        <f>41004+(3*365)</f>
        <v>42099</v>
      </c>
      <c r="D854" s="18" t="s">
        <v>60</v>
      </c>
      <c r="E854" s="18" t="s">
        <v>69</v>
      </c>
      <c r="F854" s="21">
        <v>5856</v>
      </c>
    </row>
    <row r="855" spans="2:6" x14ac:dyDescent="0.25">
      <c r="B855" s="18" t="s">
        <v>31</v>
      </c>
      <c r="C855" s="19">
        <f>40289+(3*365)</f>
        <v>41384</v>
      </c>
      <c r="D855" s="18" t="s">
        <v>76</v>
      </c>
      <c r="E855" s="18" t="s">
        <v>69</v>
      </c>
      <c r="F855" s="21">
        <v>1836</v>
      </c>
    </row>
    <row r="856" spans="2:6" x14ac:dyDescent="0.25">
      <c r="B856" s="18" t="s">
        <v>31</v>
      </c>
      <c r="C856" s="19">
        <f>40322+(3*365)</f>
        <v>41417</v>
      </c>
      <c r="D856" s="18" t="s">
        <v>76</v>
      </c>
      <c r="E856" s="18" t="s">
        <v>69</v>
      </c>
      <c r="F856" s="21">
        <v>1062</v>
      </c>
    </row>
    <row r="857" spans="2:6" x14ac:dyDescent="0.25">
      <c r="B857" s="18" t="s">
        <v>18</v>
      </c>
      <c r="C857" s="19">
        <f>40338+(3*365)</f>
        <v>41433</v>
      </c>
      <c r="D857" s="18" t="s">
        <v>71</v>
      </c>
      <c r="E857" s="18" t="s">
        <v>75</v>
      </c>
      <c r="F857" s="21">
        <v>888</v>
      </c>
    </row>
    <row r="858" spans="2:6" x14ac:dyDescent="0.25">
      <c r="B858" s="18" t="s">
        <v>21</v>
      </c>
      <c r="C858" s="19">
        <f>40296+(3*365)</f>
        <v>41391</v>
      </c>
      <c r="D858" s="18" t="s">
        <v>58</v>
      </c>
      <c r="E858" s="18" t="s">
        <v>75</v>
      </c>
      <c r="F858" s="21">
        <v>222</v>
      </c>
    </row>
    <row r="859" spans="2:6" x14ac:dyDescent="0.25">
      <c r="B859" s="18" t="s">
        <v>8</v>
      </c>
      <c r="C859" s="19">
        <f>39910+(3*365)</f>
        <v>41005</v>
      </c>
      <c r="D859" s="18" t="s">
        <v>77</v>
      </c>
      <c r="E859" s="18" t="s">
        <v>75</v>
      </c>
      <c r="F859" s="21">
        <v>480</v>
      </c>
    </row>
    <row r="860" spans="2:6" x14ac:dyDescent="0.25">
      <c r="B860" s="18" t="s">
        <v>18</v>
      </c>
      <c r="C860" s="19">
        <f>40805+(3*365)</f>
        <v>41900</v>
      </c>
      <c r="D860" s="18" t="s">
        <v>71</v>
      </c>
      <c r="E860" s="18" t="s">
        <v>66</v>
      </c>
      <c r="F860" s="21">
        <v>1824</v>
      </c>
    </row>
    <row r="861" spans="2:6" x14ac:dyDescent="0.25">
      <c r="B861" s="18" t="s">
        <v>9</v>
      </c>
      <c r="C861" s="19">
        <f>40566+(3*365)</f>
        <v>41661</v>
      </c>
      <c r="D861" s="18" t="s">
        <v>80</v>
      </c>
      <c r="E861" s="18" t="s">
        <v>66</v>
      </c>
      <c r="F861" s="21">
        <v>1806</v>
      </c>
    </row>
    <row r="862" spans="2:6" x14ac:dyDescent="0.25">
      <c r="B862" s="18" t="s">
        <v>21</v>
      </c>
      <c r="C862" s="19">
        <f>40667+(3*365)</f>
        <v>41762</v>
      </c>
      <c r="D862" s="18" t="s">
        <v>73</v>
      </c>
      <c r="E862" s="18" t="s">
        <v>69</v>
      </c>
      <c r="F862" s="21">
        <v>2256</v>
      </c>
    </row>
    <row r="863" spans="2:6" x14ac:dyDescent="0.25">
      <c r="B863" s="18" t="s">
        <v>10</v>
      </c>
      <c r="C863" s="19">
        <f>40277+(3*365)</f>
        <v>41372</v>
      </c>
      <c r="D863" s="18" t="s">
        <v>67</v>
      </c>
      <c r="E863" s="18" t="s">
        <v>61</v>
      </c>
      <c r="F863" s="21">
        <v>1134</v>
      </c>
    </row>
    <row r="864" spans="2:6" x14ac:dyDescent="0.25">
      <c r="B864" s="18" t="s">
        <v>31</v>
      </c>
      <c r="C864" s="19">
        <f>39828+(3*365)</f>
        <v>40923</v>
      </c>
      <c r="D864" s="18" t="s">
        <v>76</v>
      </c>
      <c r="E864" s="18" t="s">
        <v>69</v>
      </c>
      <c r="F864" s="21">
        <v>2781</v>
      </c>
    </row>
    <row r="865" spans="2:6" x14ac:dyDescent="0.25">
      <c r="B865" s="18" t="s">
        <v>9</v>
      </c>
      <c r="C865" s="19">
        <f>40500+(3*365)</f>
        <v>41595</v>
      </c>
      <c r="D865" s="18" t="s">
        <v>62</v>
      </c>
      <c r="E865" s="18" t="s">
        <v>72</v>
      </c>
      <c r="F865" s="21">
        <v>2328</v>
      </c>
    </row>
    <row r="866" spans="2:6" x14ac:dyDescent="0.25">
      <c r="B866" s="18" t="s">
        <v>11</v>
      </c>
      <c r="C866" s="19">
        <f>40466+(3*365)</f>
        <v>41561</v>
      </c>
      <c r="D866" s="18" t="s">
        <v>74</v>
      </c>
      <c r="E866" s="18" t="s">
        <v>61</v>
      </c>
      <c r="F866" s="21">
        <v>630</v>
      </c>
    </row>
    <row r="867" spans="2:6" x14ac:dyDescent="0.25">
      <c r="B867" s="18" t="s">
        <v>8</v>
      </c>
      <c r="C867" s="19">
        <f>40537+(3*365)</f>
        <v>41632</v>
      </c>
      <c r="D867" s="18" t="s">
        <v>77</v>
      </c>
      <c r="E867" s="18" t="s">
        <v>63</v>
      </c>
      <c r="F867" s="21">
        <v>392</v>
      </c>
    </row>
    <row r="868" spans="2:6" x14ac:dyDescent="0.25">
      <c r="B868" s="18" t="s">
        <v>25</v>
      </c>
      <c r="C868" s="19">
        <f>40915+(3*365)</f>
        <v>42010</v>
      </c>
      <c r="D868" s="18" t="s">
        <v>79</v>
      </c>
      <c r="E868" s="18" t="s">
        <v>63</v>
      </c>
      <c r="F868" s="21">
        <v>410</v>
      </c>
    </row>
    <row r="869" spans="2:6" x14ac:dyDescent="0.25">
      <c r="B869" s="18" t="s">
        <v>21</v>
      </c>
      <c r="C869" s="19">
        <f>41274+(3*365)</f>
        <v>42369</v>
      </c>
      <c r="D869" s="18" t="s">
        <v>58</v>
      </c>
      <c r="E869" s="18" t="s">
        <v>69</v>
      </c>
      <c r="F869" s="21">
        <v>3360</v>
      </c>
    </row>
    <row r="870" spans="2:6" x14ac:dyDescent="0.25">
      <c r="B870" s="18" t="s">
        <v>10</v>
      </c>
      <c r="C870" s="19">
        <f>40375+(3*365)</f>
        <v>41470</v>
      </c>
      <c r="D870" s="18" t="s">
        <v>65</v>
      </c>
      <c r="E870" s="18" t="s">
        <v>64</v>
      </c>
      <c r="F870" s="21">
        <v>10296</v>
      </c>
    </row>
    <row r="871" spans="2:6" x14ac:dyDescent="0.25">
      <c r="B871" s="18" t="s">
        <v>9</v>
      </c>
      <c r="C871" s="19">
        <f>40092+(3*365)</f>
        <v>41187</v>
      </c>
      <c r="D871" s="18" t="s">
        <v>80</v>
      </c>
      <c r="E871" s="18" t="s">
        <v>69</v>
      </c>
      <c r="F871" s="21">
        <v>1584</v>
      </c>
    </row>
    <row r="872" spans="2:6" x14ac:dyDescent="0.25">
      <c r="B872" s="18" t="s">
        <v>25</v>
      </c>
      <c r="C872" s="19">
        <f>41046+(3*365)</f>
        <v>42141</v>
      </c>
      <c r="D872" s="18" t="s">
        <v>79</v>
      </c>
      <c r="E872" s="18" t="s">
        <v>75</v>
      </c>
      <c r="F872" s="21">
        <v>180</v>
      </c>
    </row>
    <row r="873" spans="2:6" x14ac:dyDescent="0.25">
      <c r="B873" s="18" t="s">
        <v>9</v>
      </c>
      <c r="C873" s="19">
        <f>40133+(3*365)</f>
        <v>41228</v>
      </c>
      <c r="D873" s="18" t="s">
        <v>62</v>
      </c>
      <c r="E873" s="18" t="s">
        <v>69</v>
      </c>
      <c r="F873" s="21">
        <v>780</v>
      </c>
    </row>
    <row r="874" spans="2:6" x14ac:dyDescent="0.25">
      <c r="B874" s="18" t="s">
        <v>8</v>
      </c>
      <c r="C874" s="19">
        <f>40349+(3*365)</f>
        <v>41444</v>
      </c>
      <c r="D874" s="18" t="s">
        <v>77</v>
      </c>
      <c r="E874" s="18" t="s">
        <v>59</v>
      </c>
      <c r="F874" s="21">
        <v>96</v>
      </c>
    </row>
    <row r="875" spans="2:6" x14ac:dyDescent="0.25">
      <c r="B875" s="18" t="s">
        <v>10</v>
      </c>
      <c r="C875" s="19">
        <f>39840+(3*365)</f>
        <v>40935</v>
      </c>
      <c r="D875" s="18" t="s">
        <v>65</v>
      </c>
      <c r="E875" s="18" t="s">
        <v>72</v>
      </c>
      <c r="F875" s="21">
        <v>3156</v>
      </c>
    </row>
    <row r="876" spans="2:6" x14ac:dyDescent="0.25">
      <c r="B876" s="18" t="s">
        <v>9</v>
      </c>
      <c r="C876" s="19">
        <f>41250+(3*365)</f>
        <v>42345</v>
      </c>
      <c r="D876" s="18" t="s">
        <v>62</v>
      </c>
      <c r="E876" s="18" t="s">
        <v>72</v>
      </c>
      <c r="F876" s="21">
        <v>204</v>
      </c>
    </row>
    <row r="877" spans="2:6" x14ac:dyDescent="0.25">
      <c r="B877" s="18" t="s">
        <v>9</v>
      </c>
      <c r="C877" s="19">
        <f>40930+(3*365)</f>
        <v>42025</v>
      </c>
      <c r="D877" s="18" t="s">
        <v>80</v>
      </c>
      <c r="E877" s="18" t="s">
        <v>66</v>
      </c>
      <c r="F877" s="21">
        <v>474</v>
      </c>
    </row>
    <row r="878" spans="2:6" x14ac:dyDescent="0.25">
      <c r="B878" s="18" t="s">
        <v>9</v>
      </c>
      <c r="C878" s="19">
        <f>40834+(3*365)</f>
        <v>41929</v>
      </c>
      <c r="D878" s="18" t="s">
        <v>62</v>
      </c>
      <c r="E878" s="18" t="s">
        <v>64</v>
      </c>
      <c r="F878" s="21">
        <v>13914</v>
      </c>
    </row>
    <row r="879" spans="2:6" x14ac:dyDescent="0.25">
      <c r="B879" s="18" t="s">
        <v>18</v>
      </c>
      <c r="C879" s="19">
        <f>40905+(3*365)</f>
        <v>42000</v>
      </c>
      <c r="D879" s="18" t="s">
        <v>68</v>
      </c>
      <c r="E879" s="18" t="s">
        <v>61</v>
      </c>
      <c r="F879" s="21">
        <v>812</v>
      </c>
    </row>
    <row r="880" spans="2:6" x14ac:dyDescent="0.25">
      <c r="B880" s="18" t="s">
        <v>8</v>
      </c>
      <c r="C880" s="19">
        <f>41026+(3*365)</f>
        <v>42121</v>
      </c>
      <c r="D880" s="18" t="s">
        <v>81</v>
      </c>
      <c r="E880" s="18" t="s">
        <v>64</v>
      </c>
      <c r="F880" s="21">
        <v>15504</v>
      </c>
    </row>
    <row r="881" spans="2:6" x14ac:dyDescent="0.25">
      <c r="B881" s="18" t="s">
        <v>18</v>
      </c>
      <c r="C881" s="19">
        <f>39869+(3*365)</f>
        <v>40964</v>
      </c>
      <c r="D881" s="18" t="s">
        <v>71</v>
      </c>
      <c r="E881" s="18" t="s">
        <v>72</v>
      </c>
      <c r="F881" s="21">
        <v>274</v>
      </c>
    </row>
    <row r="882" spans="2:6" x14ac:dyDescent="0.25">
      <c r="B882" s="18" t="s">
        <v>10</v>
      </c>
      <c r="C882" s="19">
        <f>40482+(3*365)</f>
        <v>41577</v>
      </c>
      <c r="D882" s="18" t="s">
        <v>65</v>
      </c>
      <c r="E882" s="18" t="s">
        <v>69</v>
      </c>
      <c r="F882" s="21">
        <v>3504</v>
      </c>
    </row>
    <row r="883" spans="2:6" x14ac:dyDescent="0.25">
      <c r="B883" s="18" t="s">
        <v>31</v>
      </c>
      <c r="C883" s="19">
        <f>40099+(3*365)</f>
        <v>41194</v>
      </c>
      <c r="D883" s="18" t="s">
        <v>76</v>
      </c>
      <c r="E883" s="18" t="s">
        <v>59</v>
      </c>
      <c r="F883" s="21">
        <v>156</v>
      </c>
    </row>
    <row r="884" spans="2:6" x14ac:dyDescent="0.25">
      <c r="B884" s="18" t="s">
        <v>21</v>
      </c>
      <c r="C884" s="19">
        <f>40209+(3*365)</f>
        <v>41304</v>
      </c>
      <c r="D884" s="18" t="s">
        <v>58</v>
      </c>
      <c r="E884" s="18" t="s">
        <v>72</v>
      </c>
      <c r="F884" s="21">
        <v>464</v>
      </c>
    </row>
    <row r="885" spans="2:6" x14ac:dyDescent="0.25">
      <c r="B885" s="18" t="s">
        <v>21</v>
      </c>
      <c r="C885" s="19">
        <f>40753+(3*365)</f>
        <v>41848</v>
      </c>
      <c r="D885" s="18" t="s">
        <v>73</v>
      </c>
      <c r="E885" s="18" t="s">
        <v>59</v>
      </c>
      <c r="F885" s="21">
        <v>144</v>
      </c>
    </row>
    <row r="886" spans="2:6" x14ac:dyDescent="0.25">
      <c r="B886" s="18" t="s">
        <v>10</v>
      </c>
      <c r="C886" s="19">
        <f>40126+(3*365)</f>
        <v>41221</v>
      </c>
      <c r="D886" s="18" t="s">
        <v>67</v>
      </c>
      <c r="E886" s="18" t="s">
        <v>59</v>
      </c>
      <c r="F886" s="21">
        <v>540</v>
      </c>
    </row>
    <row r="887" spans="2:6" x14ac:dyDescent="0.25">
      <c r="B887" s="18" t="s">
        <v>8</v>
      </c>
      <c r="C887" s="19">
        <f>41027+(3*365)</f>
        <v>42122</v>
      </c>
      <c r="D887" s="18" t="s">
        <v>81</v>
      </c>
      <c r="E887" s="18" t="s">
        <v>66</v>
      </c>
      <c r="F887" s="21">
        <v>1008</v>
      </c>
    </row>
    <row r="888" spans="2:6" x14ac:dyDescent="0.25">
      <c r="B888" s="18" t="s">
        <v>10</v>
      </c>
      <c r="C888" s="19">
        <f>41060+(3*365)</f>
        <v>42155</v>
      </c>
      <c r="D888" s="18" t="s">
        <v>67</v>
      </c>
      <c r="E888" s="18" t="s">
        <v>72</v>
      </c>
      <c r="F888" s="21">
        <v>4920</v>
      </c>
    </row>
    <row r="889" spans="2:6" x14ac:dyDescent="0.25">
      <c r="B889" s="18" t="s">
        <v>21</v>
      </c>
      <c r="C889" s="19">
        <f>39983+(3*365)</f>
        <v>41078</v>
      </c>
      <c r="D889" s="18" t="s">
        <v>58</v>
      </c>
      <c r="E889" s="18" t="s">
        <v>72</v>
      </c>
      <c r="F889" s="21">
        <v>620</v>
      </c>
    </row>
    <row r="890" spans="2:6" x14ac:dyDescent="0.25">
      <c r="B890" s="18" t="s">
        <v>25</v>
      </c>
      <c r="C890" s="19">
        <f>40921+(3*365)</f>
        <v>42016</v>
      </c>
      <c r="D890" s="18" t="s">
        <v>79</v>
      </c>
      <c r="E890" s="18" t="s">
        <v>61</v>
      </c>
      <c r="F890" s="21">
        <v>756</v>
      </c>
    </row>
    <row r="891" spans="2:6" x14ac:dyDescent="0.25">
      <c r="B891" s="18" t="s">
        <v>10</v>
      </c>
      <c r="C891" s="19">
        <f>41098+(3*365)</f>
        <v>42193</v>
      </c>
      <c r="D891" s="18" t="s">
        <v>67</v>
      </c>
      <c r="E891" s="18" t="s">
        <v>61</v>
      </c>
      <c r="F891" s="21">
        <v>765</v>
      </c>
    </row>
    <row r="892" spans="2:6" x14ac:dyDescent="0.25">
      <c r="B892" s="18" t="s">
        <v>18</v>
      </c>
      <c r="C892" s="19">
        <f>41134+(3*365)</f>
        <v>42229</v>
      </c>
      <c r="D892" s="18" t="s">
        <v>68</v>
      </c>
      <c r="E892" s="18" t="s">
        <v>64</v>
      </c>
      <c r="F892" s="21">
        <v>6672</v>
      </c>
    </row>
    <row r="893" spans="2:6" x14ac:dyDescent="0.25">
      <c r="B893" s="18" t="s">
        <v>31</v>
      </c>
      <c r="C893" s="19">
        <f>40305+(3*365)</f>
        <v>41400</v>
      </c>
      <c r="D893" s="18" t="s">
        <v>70</v>
      </c>
      <c r="E893" s="18" t="s">
        <v>63</v>
      </c>
      <c r="F893" s="21">
        <v>276</v>
      </c>
    </row>
    <row r="894" spans="2:6" x14ac:dyDescent="0.25">
      <c r="B894" s="18" t="s">
        <v>31</v>
      </c>
      <c r="C894" s="19">
        <f>41200+(3*365)</f>
        <v>42295</v>
      </c>
      <c r="D894" s="18" t="s">
        <v>70</v>
      </c>
      <c r="E894" s="18" t="s">
        <v>59</v>
      </c>
      <c r="F894" s="21">
        <v>252</v>
      </c>
    </row>
    <row r="895" spans="2:6" x14ac:dyDescent="0.25">
      <c r="B895" s="18" t="s">
        <v>18</v>
      </c>
      <c r="C895" s="19">
        <f>40128+(3*365)</f>
        <v>41223</v>
      </c>
      <c r="D895" s="18" t="s">
        <v>68</v>
      </c>
      <c r="E895" s="18" t="s">
        <v>75</v>
      </c>
      <c r="F895" s="21">
        <v>92</v>
      </c>
    </row>
    <row r="896" spans="2:6" x14ac:dyDescent="0.25">
      <c r="B896" s="18" t="s">
        <v>9</v>
      </c>
      <c r="C896" s="19">
        <f>41182+(3*365)</f>
        <v>42277</v>
      </c>
      <c r="D896" s="18" t="s">
        <v>62</v>
      </c>
      <c r="E896" s="18" t="s">
        <v>66</v>
      </c>
      <c r="F896" s="21">
        <v>492</v>
      </c>
    </row>
    <row r="897" spans="2:6" x14ac:dyDescent="0.25">
      <c r="B897" s="18" t="s">
        <v>10</v>
      </c>
      <c r="C897" s="19">
        <f>39833+(3*365)</f>
        <v>40928</v>
      </c>
      <c r="D897" s="18" t="s">
        <v>67</v>
      </c>
      <c r="E897" s="18" t="s">
        <v>64</v>
      </c>
      <c r="F897" s="21">
        <v>15768</v>
      </c>
    </row>
    <row r="898" spans="2:6" x14ac:dyDescent="0.25">
      <c r="B898" s="18" t="s">
        <v>31</v>
      </c>
      <c r="C898" s="19">
        <f>40996+(3*365)</f>
        <v>42091</v>
      </c>
      <c r="D898" s="18" t="s">
        <v>70</v>
      </c>
      <c r="E898" s="18" t="s">
        <v>66</v>
      </c>
      <c r="F898" s="21">
        <v>1281</v>
      </c>
    </row>
    <row r="899" spans="2:6" x14ac:dyDescent="0.25">
      <c r="B899" s="18" t="s">
        <v>8</v>
      </c>
      <c r="C899" s="19">
        <f>40751+(3*365)</f>
        <v>41846</v>
      </c>
      <c r="D899" s="18" t="s">
        <v>77</v>
      </c>
      <c r="E899" s="18" t="s">
        <v>64</v>
      </c>
      <c r="F899" s="21">
        <v>21672</v>
      </c>
    </row>
    <row r="900" spans="2:6" x14ac:dyDescent="0.25">
      <c r="B900" s="18" t="s">
        <v>18</v>
      </c>
      <c r="C900" s="19">
        <f>40758+(3*365)</f>
        <v>41853</v>
      </c>
      <c r="D900" s="18" t="s">
        <v>68</v>
      </c>
      <c r="E900" s="18" t="s">
        <v>59</v>
      </c>
      <c r="F900" s="21">
        <v>972</v>
      </c>
    </row>
    <row r="901" spans="2:6" x14ac:dyDescent="0.25">
      <c r="B901" s="18" t="s">
        <v>18</v>
      </c>
      <c r="C901" s="19">
        <f>41234+(3*365)</f>
        <v>42329</v>
      </c>
      <c r="D901" s="18" t="s">
        <v>68</v>
      </c>
      <c r="E901" s="18" t="s">
        <v>69</v>
      </c>
      <c r="F901" s="21">
        <v>1404</v>
      </c>
    </row>
    <row r="902" spans="2:6" x14ac:dyDescent="0.25">
      <c r="B902" s="18" t="s">
        <v>11</v>
      </c>
      <c r="C902" s="19">
        <f>40885+(3*365)</f>
        <v>41980</v>
      </c>
      <c r="D902" s="18" t="s">
        <v>74</v>
      </c>
      <c r="E902" s="18" t="s">
        <v>75</v>
      </c>
      <c r="F902" s="21">
        <v>756</v>
      </c>
    </row>
    <row r="903" spans="2:6" x14ac:dyDescent="0.25">
      <c r="B903" s="18" t="s">
        <v>25</v>
      </c>
      <c r="C903" s="19">
        <f>40213+(3*365)</f>
        <v>41308</v>
      </c>
      <c r="D903" s="18" t="s">
        <v>79</v>
      </c>
      <c r="E903" s="18" t="s">
        <v>61</v>
      </c>
      <c r="F903" s="21">
        <v>1128</v>
      </c>
    </row>
    <row r="904" spans="2:6" x14ac:dyDescent="0.25">
      <c r="B904" s="18" t="s">
        <v>10</v>
      </c>
      <c r="C904" s="19">
        <f>40305+(3*365)</f>
        <v>41400</v>
      </c>
      <c r="D904" s="18" t="s">
        <v>65</v>
      </c>
      <c r="E904" s="18" t="s">
        <v>66</v>
      </c>
      <c r="F904" s="21">
        <v>768</v>
      </c>
    </row>
    <row r="905" spans="2:6" x14ac:dyDescent="0.25">
      <c r="B905" s="18" t="s">
        <v>31</v>
      </c>
      <c r="C905" s="19">
        <f>41019+(3*365)</f>
        <v>42114</v>
      </c>
      <c r="D905" s="18" t="s">
        <v>70</v>
      </c>
      <c r="E905" s="18" t="s">
        <v>61</v>
      </c>
      <c r="F905" s="21">
        <v>246</v>
      </c>
    </row>
    <row r="906" spans="2:6" x14ac:dyDescent="0.25">
      <c r="B906" s="18" t="s">
        <v>21</v>
      </c>
      <c r="C906" s="19">
        <f>39856+(3*365)</f>
        <v>40951</v>
      </c>
      <c r="D906" s="18" t="s">
        <v>58</v>
      </c>
      <c r="E906" s="18" t="s">
        <v>66</v>
      </c>
      <c r="F906" s="21">
        <v>476</v>
      </c>
    </row>
    <row r="907" spans="2:6" x14ac:dyDescent="0.25">
      <c r="B907" s="18" t="s">
        <v>25</v>
      </c>
      <c r="C907" s="19">
        <f>40483+(3*365)</f>
        <v>41578</v>
      </c>
      <c r="D907" s="18" t="s">
        <v>79</v>
      </c>
      <c r="E907" s="18" t="s">
        <v>75</v>
      </c>
      <c r="F907" s="21">
        <v>306</v>
      </c>
    </row>
    <row r="908" spans="2:6" x14ac:dyDescent="0.25">
      <c r="B908" s="18" t="s">
        <v>25</v>
      </c>
      <c r="C908" s="19">
        <f>40798+(3*365)</f>
        <v>41893</v>
      </c>
      <c r="D908" s="18" t="s">
        <v>79</v>
      </c>
      <c r="E908" s="18" t="s">
        <v>69</v>
      </c>
      <c r="F908" s="21">
        <v>3920</v>
      </c>
    </row>
    <row r="909" spans="2:6" x14ac:dyDescent="0.25">
      <c r="B909" s="18" t="s">
        <v>25</v>
      </c>
      <c r="C909" s="19">
        <f>40297+(3*365)</f>
        <v>41392</v>
      </c>
      <c r="D909" s="18" t="s">
        <v>78</v>
      </c>
      <c r="E909" s="18" t="s">
        <v>72</v>
      </c>
      <c r="F909" s="21">
        <v>2439</v>
      </c>
    </row>
    <row r="910" spans="2:6" x14ac:dyDescent="0.25">
      <c r="B910" s="18" t="s">
        <v>18</v>
      </c>
      <c r="C910" s="19">
        <f>40217+(3*365)</f>
        <v>41312</v>
      </c>
      <c r="D910" s="18" t="s">
        <v>68</v>
      </c>
      <c r="E910" s="18" t="s">
        <v>75</v>
      </c>
      <c r="F910" s="21">
        <v>144</v>
      </c>
    </row>
    <row r="911" spans="2:6" x14ac:dyDescent="0.25">
      <c r="B911" s="18" t="s">
        <v>25</v>
      </c>
      <c r="C911" s="19">
        <f>40727+(3*365)</f>
        <v>41822</v>
      </c>
      <c r="D911" s="18" t="s">
        <v>78</v>
      </c>
      <c r="E911" s="18" t="s">
        <v>72</v>
      </c>
      <c r="F911" s="21">
        <v>792</v>
      </c>
    </row>
    <row r="912" spans="2:6" x14ac:dyDescent="0.25">
      <c r="B912" s="18" t="s">
        <v>8</v>
      </c>
      <c r="C912" s="19">
        <f>40049+(3*365)</f>
        <v>41144</v>
      </c>
      <c r="D912" s="18" t="s">
        <v>77</v>
      </c>
      <c r="E912" s="18" t="s">
        <v>64</v>
      </c>
      <c r="F912" s="21">
        <v>12744</v>
      </c>
    </row>
    <row r="913" spans="2:6" x14ac:dyDescent="0.25">
      <c r="B913" s="18" t="s">
        <v>18</v>
      </c>
      <c r="C913" s="19">
        <f>39827+(3*365)</f>
        <v>40922</v>
      </c>
      <c r="D913" s="18" t="s">
        <v>71</v>
      </c>
      <c r="E913" s="18" t="s">
        <v>59</v>
      </c>
      <c r="F913" s="21">
        <v>288</v>
      </c>
    </row>
    <row r="914" spans="2:6" x14ac:dyDescent="0.25">
      <c r="B914" s="18" t="s">
        <v>10</v>
      </c>
      <c r="C914" s="19">
        <f>41014+(3*365)</f>
        <v>42109</v>
      </c>
      <c r="D914" s="18" t="s">
        <v>67</v>
      </c>
      <c r="E914" s="18" t="s">
        <v>75</v>
      </c>
      <c r="F914" s="21">
        <v>432</v>
      </c>
    </row>
    <row r="915" spans="2:6" x14ac:dyDescent="0.25">
      <c r="B915" s="18" t="s">
        <v>21</v>
      </c>
      <c r="C915" s="19">
        <f>41049+(3*365)</f>
        <v>42144</v>
      </c>
      <c r="D915" s="18" t="s">
        <v>58</v>
      </c>
      <c r="E915" s="18" t="s">
        <v>59</v>
      </c>
      <c r="F915" s="21">
        <v>364</v>
      </c>
    </row>
    <row r="916" spans="2:6" x14ac:dyDescent="0.25">
      <c r="B916" s="18" t="s">
        <v>25</v>
      </c>
      <c r="C916" s="19">
        <f>41158+(3*365)</f>
        <v>42253</v>
      </c>
      <c r="D916" s="18" t="s">
        <v>78</v>
      </c>
      <c r="E916" s="18" t="s">
        <v>72</v>
      </c>
      <c r="F916" s="21">
        <v>1260</v>
      </c>
    </row>
    <row r="917" spans="2:6" x14ac:dyDescent="0.25">
      <c r="B917" s="18" t="s">
        <v>11</v>
      </c>
      <c r="C917" s="19">
        <f>40296+(3*365)</f>
        <v>41391</v>
      </c>
      <c r="D917" s="18" t="s">
        <v>74</v>
      </c>
      <c r="E917" s="18" t="s">
        <v>64</v>
      </c>
      <c r="F917" s="21">
        <v>5190</v>
      </c>
    </row>
    <row r="918" spans="2:6" x14ac:dyDescent="0.25">
      <c r="B918" s="18" t="s">
        <v>18</v>
      </c>
      <c r="C918" s="19">
        <f>40103+(3*365)</f>
        <v>41198</v>
      </c>
      <c r="D918" s="18" t="s">
        <v>71</v>
      </c>
      <c r="E918" s="18" t="s">
        <v>66</v>
      </c>
      <c r="F918" s="21">
        <v>480</v>
      </c>
    </row>
    <row r="919" spans="2:6" x14ac:dyDescent="0.25">
      <c r="B919" s="18" t="s">
        <v>18</v>
      </c>
      <c r="C919" s="19">
        <f>40601+(3*365)</f>
        <v>41696</v>
      </c>
      <c r="D919" s="18" t="s">
        <v>68</v>
      </c>
      <c r="E919" s="18" t="s">
        <v>59</v>
      </c>
      <c r="F919" s="21">
        <v>160</v>
      </c>
    </row>
    <row r="920" spans="2:6" x14ac:dyDescent="0.25">
      <c r="B920" s="18" t="s">
        <v>8</v>
      </c>
      <c r="C920" s="19">
        <f>40342+(3*365)</f>
        <v>41437</v>
      </c>
      <c r="D920" s="18" t="s">
        <v>81</v>
      </c>
      <c r="E920" s="18" t="s">
        <v>64</v>
      </c>
      <c r="F920" s="21">
        <v>4880</v>
      </c>
    </row>
    <row r="921" spans="2:6" x14ac:dyDescent="0.25">
      <c r="B921" s="18" t="s">
        <v>25</v>
      </c>
      <c r="C921" s="19">
        <f>40796+(3*365)</f>
        <v>41891</v>
      </c>
      <c r="D921" s="18" t="s">
        <v>79</v>
      </c>
      <c r="E921" s="18" t="s">
        <v>69</v>
      </c>
      <c r="F921" s="21">
        <v>448</v>
      </c>
    </row>
    <row r="922" spans="2:6" x14ac:dyDescent="0.25">
      <c r="B922" s="18" t="s">
        <v>9</v>
      </c>
      <c r="C922" s="19">
        <f>39987+(3*365)</f>
        <v>41082</v>
      </c>
      <c r="D922" s="18" t="s">
        <v>80</v>
      </c>
      <c r="E922" s="18" t="s">
        <v>59</v>
      </c>
      <c r="F922" s="21">
        <v>378</v>
      </c>
    </row>
    <row r="923" spans="2:6" x14ac:dyDescent="0.25">
      <c r="B923" s="18" t="s">
        <v>31</v>
      </c>
      <c r="C923" s="19">
        <f>40904+(3*365)</f>
        <v>41999</v>
      </c>
      <c r="D923" s="18" t="s">
        <v>70</v>
      </c>
      <c r="E923" s="18" t="s">
        <v>64</v>
      </c>
      <c r="F923" s="21">
        <v>7296</v>
      </c>
    </row>
    <row r="924" spans="2:6" x14ac:dyDescent="0.25">
      <c r="B924" s="18" t="s">
        <v>8</v>
      </c>
      <c r="C924" s="19">
        <f>41066+(3*365)</f>
        <v>42161</v>
      </c>
      <c r="D924" s="18" t="s">
        <v>81</v>
      </c>
      <c r="E924" s="18" t="s">
        <v>75</v>
      </c>
      <c r="F924" s="21">
        <v>612</v>
      </c>
    </row>
    <row r="925" spans="2:6" x14ac:dyDescent="0.25">
      <c r="B925" s="18" t="s">
        <v>8</v>
      </c>
      <c r="C925" s="19">
        <f>39888+(3*365)</f>
        <v>40983</v>
      </c>
      <c r="D925" s="18" t="s">
        <v>77</v>
      </c>
      <c r="E925" s="18" t="s">
        <v>63</v>
      </c>
      <c r="F925" s="21">
        <v>408</v>
      </c>
    </row>
    <row r="926" spans="2:6" x14ac:dyDescent="0.25">
      <c r="B926" s="18" t="s">
        <v>21</v>
      </c>
      <c r="C926" s="19">
        <f>40617+(3*365)</f>
        <v>41712</v>
      </c>
      <c r="D926" s="18" t="s">
        <v>58</v>
      </c>
      <c r="E926" s="18" t="s">
        <v>69</v>
      </c>
      <c r="F926" s="21">
        <v>2364</v>
      </c>
    </row>
    <row r="927" spans="2:6" x14ac:dyDescent="0.25">
      <c r="B927" s="18" t="s">
        <v>21</v>
      </c>
      <c r="C927" s="19">
        <f>39866+(3*365)</f>
        <v>40961</v>
      </c>
      <c r="D927" s="18" t="s">
        <v>58</v>
      </c>
      <c r="E927" s="18" t="s">
        <v>64</v>
      </c>
      <c r="F927" s="21">
        <v>1233</v>
      </c>
    </row>
    <row r="928" spans="2:6" x14ac:dyDescent="0.25">
      <c r="B928" s="18" t="s">
        <v>31</v>
      </c>
      <c r="C928" s="19">
        <f>40188+(3*365)</f>
        <v>41283</v>
      </c>
      <c r="D928" s="18" t="s">
        <v>70</v>
      </c>
      <c r="E928" s="18" t="s">
        <v>66</v>
      </c>
      <c r="F928" s="21">
        <v>2025</v>
      </c>
    </row>
    <row r="929" spans="2:6" x14ac:dyDescent="0.25">
      <c r="B929" s="18" t="s">
        <v>9</v>
      </c>
      <c r="C929" s="19">
        <f>40932+(3*365)</f>
        <v>42027</v>
      </c>
      <c r="D929" s="18" t="s">
        <v>62</v>
      </c>
      <c r="E929" s="18" t="s">
        <v>64</v>
      </c>
      <c r="F929" s="21">
        <v>465</v>
      </c>
    </row>
    <row r="930" spans="2:6" x14ac:dyDescent="0.25">
      <c r="B930" s="18" t="s">
        <v>31</v>
      </c>
      <c r="C930" s="19">
        <f>40548+(3*365)</f>
        <v>41643</v>
      </c>
      <c r="D930" s="18" t="s">
        <v>70</v>
      </c>
      <c r="E930" s="18" t="s">
        <v>63</v>
      </c>
      <c r="F930" s="21">
        <v>1782</v>
      </c>
    </row>
    <row r="931" spans="2:6" x14ac:dyDescent="0.25">
      <c r="B931" s="18" t="s">
        <v>21</v>
      </c>
      <c r="C931" s="19">
        <f>40298+(3*365)</f>
        <v>41393</v>
      </c>
      <c r="D931" s="18" t="s">
        <v>73</v>
      </c>
      <c r="E931" s="18" t="s">
        <v>63</v>
      </c>
      <c r="F931" s="21">
        <v>168</v>
      </c>
    </row>
    <row r="932" spans="2:6" x14ac:dyDescent="0.25">
      <c r="B932" s="18" t="s">
        <v>11</v>
      </c>
      <c r="C932" s="19">
        <f>40750+(3*365)</f>
        <v>41845</v>
      </c>
      <c r="D932" s="18" t="s">
        <v>60</v>
      </c>
      <c r="E932" s="18" t="s">
        <v>66</v>
      </c>
      <c r="F932" s="21">
        <v>1728</v>
      </c>
    </row>
    <row r="933" spans="2:6" x14ac:dyDescent="0.25">
      <c r="B933" s="18" t="s">
        <v>31</v>
      </c>
      <c r="C933" s="19">
        <f>40885+(3*365)</f>
        <v>41980</v>
      </c>
      <c r="D933" s="18" t="s">
        <v>70</v>
      </c>
      <c r="E933" s="18" t="s">
        <v>69</v>
      </c>
      <c r="F933" s="21">
        <v>498</v>
      </c>
    </row>
    <row r="934" spans="2:6" x14ac:dyDescent="0.25">
      <c r="B934" s="18" t="s">
        <v>8</v>
      </c>
      <c r="C934" s="19">
        <f>40246+(3*365)</f>
        <v>41341</v>
      </c>
      <c r="D934" s="18" t="s">
        <v>77</v>
      </c>
      <c r="E934" s="18" t="s">
        <v>64</v>
      </c>
      <c r="F934" s="21">
        <v>2000</v>
      </c>
    </row>
    <row r="935" spans="2:6" x14ac:dyDescent="0.25">
      <c r="B935" s="18" t="s">
        <v>21</v>
      </c>
      <c r="C935" s="19">
        <f>40298+(3*365)</f>
        <v>41393</v>
      </c>
      <c r="D935" s="18" t="s">
        <v>58</v>
      </c>
      <c r="E935" s="18" t="s">
        <v>66</v>
      </c>
      <c r="F935" s="21">
        <v>928</v>
      </c>
    </row>
    <row r="936" spans="2:6" x14ac:dyDescent="0.25">
      <c r="B936" s="18" t="s">
        <v>18</v>
      </c>
      <c r="C936" s="19">
        <f>40709+(3*365)</f>
        <v>41804</v>
      </c>
      <c r="D936" s="18" t="s">
        <v>68</v>
      </c>
      <c r="E936" s="18" t="s">
        <v>64</v>
      </c>
      <c r="F936" s="21">
        <v>15876</v>
      </c>
    </row>
    <row r="937" spans="2:6" x14ac:dyDescent="0.25">
      <c r="B937" s="18" t="s">
        <v>10</v>
      </c>
      <c r="C937" s="19">
        <f>40116+(3*365)</f>
        <v>41211</v>
      </c>
      <c r="D937" s="18" t="s">
        <v>67</v>
      </c>
      <c r="E937" s="18" t="s">
        <v>69</v>
      </c>
      <c r="F937" s="21">
        <v>324</v>
      </c>
    </row>
    <row r="938" spans="2:6" x14ac:dyDescent="0.25">
      <c r="B938" s="18" t="s">
        <v>21</v>
      </c>
      <c r="C938" s="19">
        <f>40899+(3*365)</f>
        <v>41994</v>
      </c>
      <c r="D938" s="18" t="s">
        <v>58</v>
      </c>
      <c r="E938" s="18" t="s">
        <v>64</v>
      </c>
      <c r="F938" s="21">
        <v>14385</v>
      </c>
    </row>
    <row r="939" spans="2:6" x14ac:dyDescent="0.25">
      <c r="B939" s="18" t="s">
        <v>21</v>
      </c>
      <c r="C939" s="19">
        <f>40874+(3*365)</f>
        <v>41969</v>
      </c>
      <c r="D939" s="18" t="s">
        <v>58</v>
      </c>
      <c r="E939" s="18" t="s">
        <v>64</v>
      </c>
      <c r="F939" s="21">
        <v>6444</v>
      </c>
    </row>
    <row r="940" spans="2:6" x14ac:dyDescent="0.25">
      <c r="B940" s="18" t="s">
        <v>21</v>
      </c>
      <c r="C940" s="19">
        <f>40205+(3*365)</f>
        <v>41300</v>
      </c>
      <c r="D940" s="18" t="s">
        <v>73</v>
      </c>
      <c r="E940" s="18" t="s">
        <v>66</v>
      </c>
      <c r="F940" s="21">
        <v>256</v>
      </c>
    </row>
    <row r="941" spans="2:6" x14ac:dyDescent="0.25">
      <c r="B941" s="18" t="s">
        <v>10</v>
      </c>
      <c r="C941" s="19">
        <f>39945+(3*365)</f>
        <v>41040</v>
      </c>
      <c r="D941" s="18" t="s">
        <v>65</v>
      </c>
      <c r="E941" s="18" t="s">
        <v>61</v>
      </c>
      <c r="F941" s="21">
        <v>260</v>
      </c>
    </row>
    <row r="942" spans="2:6" x14ac:dyDescent="0.25">
      <c r="B942" s="18" t="s">
        <v>25</v>
      </c>
      <c r="C942" s="19">
        <f>40882+(3*365)</f>
        <v>41977</v>
      </c>
      <c r="D942" s="18" t="s">
        <v>78</v>
      </c>
      <c r="E942" s="18" t="s">
        <v>69</v>
      </c>
      <c r="F942" s="21">
        <v>1020</v>
      </c>
    </row>
    <row r="943" spans="2:6" x14ac:dyDescent="0.25">
      <c r="B943" s="18" t="s">
        <v>21</v>
      </c>
      <c r="C943" s="19">
        <f>41150+(3*365)</f>
        <v>42245</v>
      </c>
      <c r="D943" s="18" t="s">
        <v>73</v>
      </c>
      <c r="E943" s="18" t="s">
        <v>63</v>
      </c>
      <c r="F943" s="21">
        <v>280</v>
      </c>
    </row>
    <row r="944" spans="2:6" x14ac:dyDescent="0.25">
      <c r="B944" s="18" t="s">
        <v>8</v>
      </c>
      <c r="C944" s="19">
        <f>40282+(3*365)</f>
        <v>41377</v>
      </c>
      <c r="D944" s="18" t="s">
        <v>77</v>
      </c>
      <c r="E944" s="18" t="s">
        <v>66</v>
      </c>
      <c r="F944" s="21">
        <v>696</v>
      </c>
    </row>
    <row r="945" spans="2:6" x14ac:dyDescent="0.25">
      <c r="B945" s="18" t="s">
        <v>11</v>
      </c>
      <c r="C945" s="19">
        <f>40102+(3*365)</f>
        <v>41197</v>
      </c>
      <c r="D945" s="18" t="s">
        <v>74</v>
      </c>
      <c r="E945" s="18" t="s">
        <v>63</v>
      </c>
      <c r="F945" s="21">
        <v>540</v>
      </c>
    </row>
    <row r="946" spans="2:6" x14ac:dyDescent="0.25">
      <c r="B946" s="18" t="s">
        <v>31</v>
      </c>
      <c r="C946" s="19">
        <f>41121+(3*365)</f>
        <v>42216</v>
      </c>
      <c r="D946" s="18" t="s">
        <v>76</v>
      </c>
      <c r="E946" s="18" t="s">
        <v>75</v>
      </c>
      <c r="F946" s="21">
        <v>456</v>
      </c>
    </row>
    <row r="947" spans="2:6" x14ac:dyDescent="0.25">
      <c r="B947" s="18" t="s">
        <v>18</v>
      </c>
      <c r="C947" s="19">
        <f>39939+(3*365)</f>
        <v>41034</v>
      </c>
      <c r="D947" s="18" t="s">
        <v>71</v>
      </c>
      <c r="E947" s="18" t="s">
        <v>64</v>
      </c>
      <c r="F947" s="21">
        <v>5712</v>
      </c>
    </row>
    <row r="948" spans="2:6" x14ac:dyDescent="0.25">
      <c r="B948" s="18" t="s">
        <v>18</v>
      </c>
      <c r="C948" s="19">
        <f>40130+(3*365)</f>
        <v>41225</v>
      </c>
      <c r="D948" s="18" t="s">
        <v>71</v>
      </c>
      <c r="E948" s="18" t="s">
        <v>66</v>
      </c>
      <c r="F948" s="21">
        <v>868</v>
      </c>
    </row>
    <row r="949" spans="2:6" x14ac:dyDescent="0.25">
      <c r="B949" s="18" t="s">
        <v>25</v>
      </c>
      <c r="C949" s="19">
        <f>40780+(3*365)</f>
        <v>41875</v>
      </c>
      <c r="D949" s="18" t="s">
        <v>79</v>
      </c>
      <c r="E949" s="18" t="s">
        <v>61</v>
      </c>
      <c r="F949" s="21">
        <v>248</v>
      </c>
    </row>
    <row r="950" spans="2:6" x14ac:dyDescent="0.25">
      <c r="B950" s="18" t="s">
        <v>8</v>
      </c>
      <c r="C950" s="19">
        <f>41271+(3*365)</f>
        <v>42366</v>
      </c>
      <c r="D950" s="18" t="s">
        <v>77</v>
      </c>
      <c r="E950" s="18" t="s">
        <v>63</v>
      </c>
      <c r="F950" s="21">
        <v>488</v>
      </c>
    </row>
    <row r="951" spans="2:6" x14ac:dyDescent="0.25">
      <c r="B951" s="18" t="s">
        <v>25</v>
      </c>
      <c r="C951" s="19">
        <f>39837+(3*365)</f>
        <v>40932</v>
      </c>
      <c r="D951" s="18" t="s">
        <v>79</v>
      </c>
      <c r="E951" s="18" t="s">
        <v>59</v>
      </c>
      <c r="F951" s="21">
        <v>256</v>
      </c>
    </row>
    <row r="952" spans="2:6" x14ac:dyDescent="0.25">
      <c r="B952" s="18" t="s">
        <v>31</v>
      </c>
      <c r="C952" s="19">
        <f>40730+(3*365)</f>
        <v>41825</v>
      </c>
      <c r="D952" s="18" t="s">
        <v>76</v>
      </c>
      <c r="E952" s="18" t="s">
        <v>64</v>
      </c>
      <c r="F952" s="21">
        <v>2277</v>
      </c>
    </row>
    <row r="953" spans="2:6" x14ac:dyDescent="0.25">
      <c r="B953" s="18" t="s">
        <v>18</v>
      </c>
      <c r="C953" s="19">
        <f>40000+(3*365)</f>
        <v>41095</v>
      </c>
      <c r="D953" s="18" t="s">
        <v>68</v>
      </c>
      <c r="E953" s="18" t="s">
        <v>72</v>
      </c>
      <c r="F953" s="21">
        <v>732</v>
      </c>
    </row>
    <row r="954" spans="2:6" x14ac:dyDescent="0.25">
      <c r="B954" s="18" t="s">
        <v>11</v>
      </c>
      <c r="C954" s="19">
        <f>41032+(3*365)</f>
        <v>42127</v>
      </c>
      <c r="D954" s="18" t="s">
        <v>60</v>
      </c>
      <c r="E954" s="18" t="s">
        <v>69</v>
      </c>
      <c r="F954" s="21">
        <v>836</v>
      </c>
    </row>
    <row r="955" spans="2:6" x14ac:dyDescent="0.25">
      <c r="B955" s="18" t="s">
        <v>9</v>
      </c>
      <c r="C955" s="19">
        <f>40423+(3*365)</f>
        <v>41518</v>
      </c>
      <c r="D955" s="18" t="s">
        <v>80</v>
      </c>
      <c r="E955" s="18" t="s">
        <v>69</v>
      </c>
      <c r="F955" s="21">
        <v>750</v>
      </c>
    </row>
    <row r="956" spans="2:6" x14ac:dyDescent="0.25">
      <c r="B956" s="18" t="s">
        <v>18</v>
      </c>
      <c r="C956" s="19">
        <f>40452+(3*365)</f>
        <v>41547</v>
      </c>
      <c r="D956" s="18" t="s">
        <v>71</v>
      </c>
      <c r="E956" s="18" t="s">
        <v>63</v>
      </c>
      <c r="F956" s="21">
        <v>729</v>
      </c>
    </row>
    <row r="957" spans="2:6" x14ac:dyDescent="0.25">
      <c r="B957" s="18" t="s">
        <v>10</v>
      </c>
      <c r="C957" s="19">
        <f>39995+(3*365)</f>
        <v>41090</v>
      </c>
      <c r="D957" s="18" t="s">
        <v>67</v>
      </c>
      <c r="E957" s="18" t="s">
        <v>61</v>
      </c>
      <c r="F957" s="21">
        <v>172</v>
      </c>
    </row>
    <row r="958" spans="2:6" x14ac:dyDescent="0.25">
      <c r="B958" s="18" t="s">
        <v>18</v>
      </c>
      <c r="C958" s="19">
        <f>40692+(3*365)</f>
        <v>41787</v>
      </c>
      <c r="D958" s="18" t="s">
        <v>68</v>
      </c>
      <c r="E958" s="18" t="s">
        <v>66</v>
      </c>
      <c r="F958" s="21">
        <v>980</v>
      </c>
    </row>
    <row r="959" spans="2:6" x14ac:dyDescent="0.25">
      <c r="B959" s="18" t="s">
        <v>9</v>
      </c>
      <c r="C959" s="19">
        <f>40888+(3*365)</f>
        <v>41983</v>
      </c>
      <c r="D959" s="18" t="s">
        <v>62</v>
      </c>
      <c r="E959" s="18" t="s">
        <v>72</v>
      </c>
      <c r="F959" s="21">
        <v>2580</v>
      </c>
    </row>
    <row r="960" spans="2:6" x14ac:dyDescent="0.25">
      <c r="B960" s="18" t="s">
        <v>8</v>
      </c>
      <c r="C960" s="19">
        <f>40819+(3*365)</f>
        <v>41914</v>
      </c>
      <c r="D960" s="18" t="s">
        <v>77</v>
      </c>
      <c r="E960" s="18" t="s">
        <v>75</v>
      </c>
      <c r="F960" s="21">
        <v>512</v>
      </c>
    </row>
    <row r="961" spans="2:6" x14ac:dyDescent="0.25">
      <c r="B961" s="18" t="s">
        <v>11</v>
      </c>
      <c r="C961" s="19">
        <f>40809+(3*365)</f>
        <v>41904</v>
      </c>
      <c r="D961" s="18" t="s">
        <v>60</v>
      </c>
      <c r="E961" s="18" t="s">
        <v>61</v>
      </c>
      <c r="F961" s="21">
        <v>1428</v>
      </c>
    </row>
    <row r="962" spans="2:6" x14ac:dyDescent="0.25">
      <c r="B962" s="18" t="s">
        <v>10</v>
      </c>
      <c r="C962" s="19">
        <f>40493+(3*365)</f>
        <v>41588</v>
      </c>
      <c r="D962" s="18" t="s">
        <v>67</v>
      </c>
      <c r="E962" s="18" t="s">
        <v>64</v>
      </c>
      <c r="F962" s="21">
        <v>6552</v>
      </c>
    </row>
    <row r="963" spans="2:6" x14ac:dyDescent="0.25">
      <c r="B963" s="18" t="s">
        <v>18</v>
      </c>
      <c r="C963" s="19">
        <f>41159+(3*365)</f>
        <v>42254</v>
      </c>
      <c r="D963" s="18" t="s">
        <v>71</v>
      </c>
      <c r="E963" s="18" t="s">
        <v>61</v>
      </c>
      <c r="F963" s="21">
        <v>696</v>
      </c>
    </row>
    <row r="964" spans="2:6" x14ac:dyDescent="0.25">
      <c r="B964" s="18" t="s">
        <v>31</v>
      </c>
      <c r="C964" s="19">
        <f>40285+(3*365)</f>
        <v>41380</v>
      </c>
      <c r="D964" s="18" t="s">
        <v>70</v>
      </c>
      <c r="E964" s="18" t="s">
        <v>72</v>
      </c>
      <c r="F964" s="21">
        <v>1710</v>
      </c>
    </row>
    <row r="965" spans="2:6" x14ac:dyDescent="0.25">
      <c r="B965" s="18" t="s">
        <v>18</v>
      </c>
      <c r="C965" s="19">
        <f>40410+(3*365)</f>
        <v>41505</v>
      </c>
      <c r="D965" s="18" t="s">
        <v>68</v>
      </c>
      <c r="E965" s="18" t="s">
        <v>75</v>
      </c>
      <c r="F965" s="21">
        <v>1053</v>
      </c>
    </row>
    <row r="966" spans="2:6" x14ac:dyDescent="0.25">
      <c r="B966" s="18" t="s">
        <v>31</v>
      </c>
      <c r="C966" s="19">
        <f>41202+(3*365)</f>
        <v>42297</v>
      </c>
      <c r="D966" s="18" t="s">
        <v>76</v>
      </c>
      <c r="E966" s="18" t="s">
        <v>72</v>
      </c>
      <c r="F966" s="21">
        <v>3258</v>
      </c>
    </row>
    <row r="967" spans="2:6" x14ac:dyDescent="0.25">
      <c r="B967" s="18" t="s">
        <v>10</v>
      </c>
      <c r="C967" s="19">
        <f>40719+(3*365)</f>
        <v>41814</v>
      </c>
      <c r="D967" s="18" t="s">
        <v>65</v>
      </c>
      <c r="E967" s="18" t="s">
        <v>69</v>
      </c>
      <c r="F967" s="21">
        <v>1624</v>
      </c>
    </row>
    <row r="968" spans="2:6" x14ac:dyDescent="0.25">
      <c r="B968" s="18" t="s">
        <v>25</v>
      </c>
      <c r="C968" s="19">
        <f>40646+(3*365)</f>
        <v>41741</v>
      </c>
      <c r="D968" s="18" t="s">
        <v>79</v>
      </c>
      <c r="E968" s="18" t="s">
        <v>59</v>
      </c>
      <c r="F968" s="21">
        <v>828</v>
      </c>
    </row>
    <row r="969" spans="2:6" x14ac:dyDescent="0.25">
      <c r="B969" s="18" t="s">
        <v>21</v>
      </c>
      <c r="C969" s="19">
        <f>40225+(3*365)</f>
        <v>41320</v>
      </c>
      <c r="D969" s="18" t="s">
        <v>73</v>
      </c>
      <c r="E969" s="18" t="s">
        <v>64</v>
      </c>
      <c r="F969" s="21">
        <v>1050</v>
      </c>
    </row>
    <row r="970" spans="2:6" x14ac:dyDescent="0.25">
      <c r="B970" s="18" t="s">
        <v>11</v>
      </c>
      <c r="C970" s="19">
        <f>40710+(3*365)</f>
        <v>41805</v>
      </c>
      <c r="D970" s="18" t="s">
        <v>60</v>
      </c>
      <c r="E970" s="18" t="s">
        <v>66</v>
      </c>
      <c r="F970" s="21">
        <v>816</v>
      </c>
    </row>
    <row r="971" spans="2:6" x14ac:dyDescent="0.25">
      <c r="B971" s="18" t="s">
        <v>10</v>
      </c>
      <c r="C971" s="19">
        <f>40034+(3*365)</f>
        <v>41129</v>
      </c>
      <c r="D971" s="18" t="s">
        <v>65</v>
      </c>
      <c r="E971" s="18" t="s">
        <v>64</v>
      </c>
      <c r="F971" s="21">
        <v>5024</v>
      </c>
    </row>
    <row r="972" spans="2:6" x14ac:dyDescent="0.25">
      <c r="B972" s="18" t="s">
        <v>8</v>
      </c>
      <c r="C972" s="19">
        <f>40209+(3*365)</f>
        <v>41304</v>
      </c>
      <c r="D972" s="18" t="s">
        <v>77</v>
      </c>
      <c r="E972" s="18" t="s">
        <v>66</v>
      </c>
      <c r="F972" s="21">
        <v>2688</v>
      </c>
    </row>
    <row r="973" spans="2:6" x14ac:dyDescent="0.25">
      <c r="B973" s="18" t="s">
        <v>18</v>
      </c>
      <c r="C973" s="19">
        <f>40649+(3*365)</f>
        <v>41744</v>
      </c>
      <c r="D973" s="18" t="s">
        <v>71</v>
      </c>
      <c r="E973" s="18" t="s">
        <v>75</v>
      </c>
      <c r="F973" s="21">
        <v>1008</v>
      </c>
    </row>
    <row r="974" spans="2:6" x14ac:dyDescent="0.25">
      <c r="B974" s="18" t="s">
        <v>25</v>
      </c>
      <c r="C974" s="19">
        <f>40666+(3*365)</f>
        <v>41761</v>
      </c>
      <c r="D974" s="18" t="s">
        <v>78</v>
      </c>
      <c r="E974" s="18" t="s">
        <v>63</v>
      </c>
      <c r="F974" s="21">
        <v>312</v>
      </c>
    </row>
    <row r="975" spans="2:6" x14ac:dyDescent="0.25">
      <c r="B975" s="18" t="s">
        <v>9</v>
      </c>
      <c r="C975" s="19">
        <f>39856+(3*365)</f>
        <v>40951</v>
      </c>
      <c r="D975" s="18" t="s">
        <v>80</v>
      </c>
      <c r="E975" s="18" t="s">
        <v>75</v>
      </c>
      <c r="F975" s="21">
        <v>210</v>
      </c>
    </row>
    <row r="976" spans="2:6" x14ac:dyDescent="0.25">
      <c r="B976" s="18" t="s">
        <v>18</v>
      </c>
      <c r="C976" s="19">
        <f>41150+(3*365)</f>
        <v>42245</v>
      </c>
      <c r="D976" s="18" t="s">
        <v>68</v>
      </c>
      <c r="E976" s="18" t="s">
        <v>63</v>
      </c>
      <c r="F976" s="21">
        <v>414</v>
      </c>
    </row>
    <row r="977" spans="2:6" x14ac:dyDescent="0.25">
      <c r="B977" s="18" t="s">
        <v>31</v>
      </c>
      <c r="C977" s="19">
        <f>39963+(3*365)</f>
        <v>41058</v>
      </c>
      <c r="D977" s="18" t="s">
        <v>70</v>
      </c>
      <c r="E977" s="18" t="s">
        <v>61</v>
      </c>
      <c r="F977" s="21">
        <v>396</v>
      </c>
    </row>
    <row r="978" spans="2:6" x14ac:dyDescent="0.25">
      <c r="B978" s="18" t="s">
        <v>25</v>
      </c>
      <c r="C978" s="19">
        <f>40619+(3*365)</f>
        <v>41714</v>
      </c>
      <c r="D978" s="18" t="s">
        <v>78</v>
      </c>
      <c r="E978" s="18" t="s">
        <v>72</v>
      </c>
      <c r="F978" s="21">
        <v>396</v>
      </c>
    </row>
    <row r="979" spans="2:6" x14ac:dyDescent="0.25">
      <c r="B979" s="18" t="s">
        <v>25</v>
      </c>
      <c r="C979" s="19">
        <f>40896+(3*365)</f>
        <v>41991</v>
      </c>
      <c r="D979" s="18" t="s">
        <v>78</v>
      </c>
      <c r="E979" s="18" t="s">
        <v>61</v>
      </c>
      <c r="F979" s="21">
        <v>1944</v>
      </c>
    </row>
    <row r="980" spans="2:6" x14ac:dyDescent="0.25">
      <c r="B980" s="18" t="s">
        <v>10</v>
      </c>
      <c r="C980" s="19">
        <f>40956+(3*365)</f>
        <v>42051</v>
      </c>
      <c r="D980" s="18" t="s">
        <v>65</v>
      </c>
      <c r="E980" s="18" t="s">
        <v>64</v>
      </c>
      <c r="F980" s="21">
        <v>3084</v>
      </c>
    </row>
    <row r="981" spans="2:6" x14ac:dyDescent="0.25">
      <c r="B981" s="18" t="s">
        <v>10</v>
      </c>
      <c r="C981" s="19">
        <f>41127+(3*365)</f>
        <v>42222</v>
      </c>
      <c r="D981" s="18" t="s">
        <v>65</v>
      </c>
      <c r="E981" s="18" t="s">
        <v>66</v>
      </c>
      <c r="F981" s="21">
        <v>183</v>
      </c>
    </row>
    <row r="982" spans="2:6" x14ac:dyDescent="0.25">
      <c r="B982" s="18" t="s">
        <v>21</v>
      </c>
      <c r="C982" s="19">
        <f>39842+(3*365)</f>
        <v>40937</v>
      </c>
      <c r="D982" s="18" t="s">
        <v>58</v>
      </c>
      <c r="E982" s="18" t="s">
        <v>59</v>
      </c>
      <c r="F982" s="21">
        <v>185</v>
      </c>
    </row>
    <row r="983" spans="2:6" x14ac:dyDescent="0.25">
      <c r="B983" s="18" t="s">
        <v>9</v>
      </c>
      <c r="C983" s="19">
        <f>40568+(3*365)</f>
        <v>41663</v>
      </c>
      <c r="D983" s="18" t="s">
        <v>80</v>
      </c>
      <c r="E983" s="18" t="s">
        <v>63</v>
      </c>
      <c r="F983" s="21">
        <v>324</v>
      </c>
    </row>
    <row r="984" spans="2:6" x14ac:dyDescent="0.25">
      <c r="B984" s="18" t="s">
        <v>10</v>
      </c>
      <c r="C984" s="19">
        <f>40169+(3*365)</f>
        <v>41264</v>
      </c>
      <c r="D984" s="18" t="s">
        <v>67</v>
      </c>
      <c r="E984" s="18" t="s">
        <v>66</v>
      </c>
      <c r="F984" s="21">
        <v>1008</v>
      </c>
    </row>
    <row r="985" spans="2:6" x14ac:dyDescent="0.25">
      <c r="B985" s="18" t="s">
        <v>18</v>
      </c>
      <c r="C985" s="19">
        <f>41088+(3*365)</f>
        <v>42183</v>
      </c>
      <c r="D985" s="18" t="s">
        <v>71</v>
      </c>
      <c r="E985" s="18" t="s">
        <v>64</v>
      </c>
      <c r="F985" s="21">
        <v>7560</v>
      </c>
    </row>
    <row r="986" spans="2:6" x14ac:dyDescent="0.25">
      <c r="B986" s="18" t="s">
        <v>10</v>
      </c>
      <c r="C986" s="19">
        <f>40501+(3*365)</f>
        <v>41596</v>
      </c>
      <c r="D986" s="18" t="s">
        <v>65</v>
      </c>
      <c r="E986" s="18" t="s">
        <v>69</v>
      </c>
      <c r="F986" s="21">
        <v>1431</v>
      </c>
    </row>
    <row r="987" spans="2:6" x14ac:dyDescent="0.25">
      <c r="B987" s="18" t="s">
        <v>25</v>
      </c>
      <c r="C987" s="19">
        <f>41045+(3*365)</f>
        <v>42140</v>
      </c>
      <c r="D987" s="18" t="s">
        <v>78</v>
      </c>
      <c r="E987" s="18" t="s">
        <v>66</v>
      </c>
      <c r="F987" s="21">
        <v>246</v>
      </c>
    </row>
    <row r="988" spans="2:6" x14ac:dyDescent="0.25">
      <c r="B988" s="18" t="s">
        <v>11</v>
      </c>
      <c r="C988" s="19">
        <f>40591+(3*365)</f>
        <v>41686</v>
      </c>
      <c r="D988" s="18" t="s">
        <v>74</v>
      </c>
      <c r="E988" s="18" t="s">
        <v>75</v>
      </c>
      <c r="F988" s="21">
        <v>513</v>
      </c>
    </row>
    <row r="989" spans="2:6" x14ac:dyDescent="0.25">
      <c r="B989" s="18" t="s">
        <v>10</v>
      </c>
      <c r="C989" s="19">
        <f>40063+(3*365)</f>
        <v>41158</v>
      </c>
      <c r="D989" s="18" t="s">
        <v>65</v>
      </c>
      <c r="E989" s="18" t="s">
        <v>63</v>
      </c>
      <c r="F989" s="21">
        <v>456</v>
      </c>
    </row>
    <row r="990" spans="2:6" x14ac:dyDescent="0.25">
      <c r="B990" s="18" t="s">
        <v>9</v>
      </c>
      <c r="C990" s="19">
        <f>41208+(3*365)</f>
        <v>42303</v>
      </c>
      <c r="D990" s="18" t="s">
        <v>62</v>
      </c>
      <c r="E990" s="18" t="s">
        <v>63</v>
      </c>
      <c r="F990" s="21">
        <v>402</v>
      </c>
    </row>
    <row r="991" spans="2:6" x14ac:dyDescent="0.25">
      <c r="B991" s="18" t="s">
        <v>18</v>
      </c>
      <c r="C991" s="19">
        <f>39875+(3*365)</f>
        <v>40970</v>
      </c>
      <c r="D991" s="18" t="s">
        <v>68</v>
      </c>
      <c r="E991" s="18" t="s">
        <v>61</v>
      </c>
      <c r="F991" s="21">
        <v>306</v>
      </c>
    </row>
    <row r="992" spans="2:6" x14ac:dyDescent="0.25">
      <c r="B992" s="18" t="s">
        <v>9</v>
      </c>
      <c r="C992" s="19">
        <f>40163+(3*365)</f>
        <v>41258</v>
      </c>
      <c r="D992" s="18" t="s">
        <v>62</v>
      </c>
      <c r="E992" s="18" t="s">
        <v>66</v>
      </c>
      <c r="F992" s="21">
        <v>848</v>
      </c>
    </row>
    <row r="993" spans="2:6" x14ac:dyDescent="0.25">
      <c r="B993" s="18" t="s">
        <v>18</v>
      </c>
      <c r="C993" s="19">
        <f>40804+(3*365)</f>
        <v>41899</v>
      </c>
      <c r="D993" s="18" t="s">
        <v>68</v>
      </c>
      <c r="E993" s="18" t="s">
        <v>59</v>
      </c>
      <c r="F993" s="21">
        <v>252</v>
      </c>
    </row>
    <row r="994" spans="2:6" x14ac:dyDescent="0.25">
      <c r="B994" s="18" t="s">
        <v>25</v>
      </c>
      <c r="C994" s="19">
        <f>39991+(3*365)</f>
        <v>41086</v>
      </c>
      <c r="D994" s="18" t="s">
        <v>78</v>
      </c>
      <c r="E994" s="18" t="s">
        <v>75</v>
      </c>
      <c r="F994" s="21">
        <v>448</v>
      </c>
    </row>
    <row r="995" spans="2:6" x14ac:dyDescent="0.25">
      <c r="B995" s="18" t="s">
        <v>10</v>
      </c>
      <c r="C995" s="19">
        <f>40110+(3*365)</f>
        <v>41205</v>
      </c>
      <c r="D995" s="18" t="s">
        <v>65</v>
      </c>
      <c r="E995" s="18" t="s">
        <v>59</v>
      </c>
      <c r="F995" s="21">
        <v>416</v>
      </c>
    </row>
    <row r="996" spans="2:6" x14ac:dyDescent="0.25">
      <c r="B996" s="18" t="s">
        <v>25</v>
      </c>
      <c r="C996" s="19">
        <f>41202+(3*365)</f>
        <v>42297</v>
      </c>
      <c r="D996" s="18" t="s">
        <v>78</v>
      </c>
      <c r="E996" s="18" t="s">
        <v>72</v>
      </c>
      <c r="F996" s="21">
        <v>936</v>
      </c>
    </row>
    <row r="997" spans="2:6" x14ac:dyDescent="0.25">
      <c r="B997" s="18" t="s">
        <v>8</v>
      </c>
      <c r="C997" s="19">
        <f>41118+(3*365)</f>
        <v>42213</v>
      </c>
      <c r="D997" s="18" t="s">
        <v>81</v>
      </c>
      <c r="E997" s="18" t="s">
        <v>66</v>
      </c>
      <c r="F997" s="21">
        <v>384</v>
      </c>
    </row>
    <row r="998" spans="2:6" x14ac:dyDescent="0.25">
      <c r="B998" s="18" t="s">
        <v>11</v>
      </c>
      <c r="C998" s="19">
        <f>41224+(3*365)</f>
        <v>42319</v>
      </c>
      <c r="D998" s="18" t="s">
        <v>74</v>
      </c>
      <c r="E998" s="18" t="s">
        <v>66</v>
      </c>
      <c r="F998" s="21">
        <v>952</v>
      </c>
    </row>
    <row r="999" spans="2:6" x14ac:dyDescent="0.25">
      <c r="B999" s="18" t="s">
        <v>9</v>
      </c>
      <c r="C999" s="19">
        <f>40290+(3*365)</f>
        <v>41385</v>
      </c>
      <c r="D999" s="18" t="s">
        <v>62</v>
      </c>
      <c r="E999" s="18" t="s">
        <v>61</v>
      </c>
      <c r="F999" s="21">
        <v>276</v>
      </c>
    </row>
    <row r="1000" spans="2:6" x14ac:dyDescent="0.25">
      <c r="B1000" s="18" t="s">
        <v>21</v>
      </c>
      <c r="C1000" s="19">
        <f>40870+(3*365)</f>
        <v>41965</v>
      </c>
      <c r="D1000" s="18" t="s">
        <v>73</v>
      </c>
      <c r="E1000" s="18" t="s">
        <v>64</v>
      </c>
      <c r="F1000" s="21">
        <v>4851</v>
      </c>
    </row>
    <row r="1001" spans="2:6" x14ac:dyDescent="0.25">
      <c r="B1001" s="18" t="s">
        <v>9</v>
      </c>
      <c r="C1001" s="19">
        <f>40345+(3*365)</f>
        <v>41440</v>
      </c>
      <c r="D1001" s="18" t="s">
        <v>62</v>
      </c>
      <c r="E1001" s="18" t="s">
        <v>59</v>
      </c>
      <c r="F1001" s="21">
        <v>220</v>
      </c>
    </row>
    <row r="1002" spans="2:6" x14ac:dyDescent="0.25">
      <c r="B1002" s="18" t="s">
        <v>18</v>
      </c>
      <c r="C1002" s="19">
        <f>40959+(3*365)</f>
        <v>42054</v>
      </c>
      <c r="D1002" s="18" t="s">
        <v>71</v>
      </c>
      <c r="E1002" s="18" t="s">
        <v>75</v>
      </c>
      <c r="F1002" s="21">
        <v>480</v>
      </c>
    </row>
    <row r="1003" spans="2:6" x14ac:dyDescent="0.25">
      <c r="B1003" s="18" t="s">
        <v>18</v>
      </c>
      <c r="C1003" s="19">
        <f>40580+(3*365)</f>
        <v>41675</v>
      </c>
      <c r="D1003" s="18" t="s">
        <v>71</v>
      </c>
      <c r="E1003" s="18" t="s">
        <v>66</v>
      </c>
      <c r="F1003" s="21">
        <v>1476</v>
      </c>
    </row>
    <row r="1004" spans="2:6" x14ac:dyDescent="0.25">
      <c r="B1004" s="18" t="s">
        <v>8</v>
      </c>
      <c r="C1004" s="19">
        <f>39890+(3*365)</f>
        <v>40985</v>
      </c>
      <c r="D1004" s="18" t="s">
        <v>81</v>
      </c>
      <c r="E1004" s="18" t="s">
        <v>66</v>
      </c>
      <c r="F1004" s="21">
        <v>720</v>
      </c>
    </row>
    <row r="1005" spans="2:6" x14ac:dyDescent="0.25">
      <c r="B1005" s="18" t="s">
        <v>31</v>
      </c>
      <c r="C1005" s="19">
        <f>40029+(3*365)</f>
        <v>41124</v>
      </c>
      <c r="D1005" s="18" t="s">
        <v>70</v>
      </c>
      <c r="E1005" s="18" t="s">
        <v>69</v>
      </c>
      <c r="F1005" s="21">
        <v>675</v>
      </c>
    </row>
    <row r="1006" spans="2:6" x14ac:dyDescent="0.25">
      <c r="B1006" s="18" t="s">
        <v>9</v>
      </c>
      <c r="C1006" s="19">
        <f>40378+(3*365)</f>
        <v>41473</v>
      </c>
      <c r="D1006" s="18" t="s">
        <v>80</v>
      </c>
      <c r="E1006" s="18" t="s">
        <v>61</v>
      </c>
      <c r="F1006" s="21">
        <v>468</v>
      </c>
    </row>
    <row r="1007" spans="2:6" x14ac:dyDescent="0.25">
      <c r="B1007" s="18" t="s">
        <v>8</v>
      </c>
      <c r="C1007" s="19">
        <f>40881+(3*365)</f>
        <v>41976</v>
      </c>
      <c r="D1007" s="18" t="s">
        <v>81</v>
      </c>
      <c r="E1007" s="18" t="s">
        <v>61</v>
      </c>
      <c r="F1007" s="21">
        <v>704</v>
      </c>
    </row>
    <row r="1008" spans="2:6" x14ac:dyDescent="0.25">
      <c r="B1008" s="18" t="s">
        <v>11</v>
      </c>
      <c r="C1008" s="19">
        <f>40535+(3*365)</f>
        <v>41630</v>
      </c>
      <c r="D1008" s="18" t="s">
        <v>60</v>
      </c>
      <c r="E1008" s="18" t="s">
        <v>75</v>
      </c>
      <c r="F1008" s="21">
        <v>252</v>
      </c>
    </row>
    <row r="1009" spans="2:6" x14ac:dyDescent="0.25">
      <c r="B1009" s="18" t="s">
        <v>8</v>
      </c>
      <c r="C1009" s="19">
        <f>40263+(3*365)</f>
        <v>41358</v>
      </c>
      <c r="D1009" s="18" t="s">
        <v>77</v>
      </c>
      <c r="E1009" s="18" t="s">
        <v>59</v>
      </c>
      <c r="F1009" s="21">
        <v>320</v>
      </c>
    </row>
    <row r="1010" spans="2:6" x14ac:dyDescent="0.25">
      <c r="B1010" s="18" t="s">
        <v>25</v>
      </c>
      <c r="C1010" s="19">
        <f>41090+(3*365)</f>
        <v>42185</v>
      </c>
      <c r="D1010" s="18" t="s">
        <v>78</v>
      </c>
      <c r="E1010" s="18" t="s">
        <v>72</v>
      </c>
      <c r="F1010" s="21">
        <v>46</v>
      </c>
    </row>
    <row r="1011" spans="2:6" x14ac:dyDescent="0.25">
      <c r="B1011" s="18" t="s">
        <v>31</v>
      </c>
      <c r="C1011" s="19">
        <f>40594+(3*365)</f>
        <v>41689</v>
      </c>
      <c r="D1011" s="18" t="s">
        <v>70</v>
      </c>
      <c r="E1011" s="18" t="s">
        <v>59</v>
      </c>
      <c r="F1011" s="21">
        <v>744</v>
      </c>
    </row>
    <row r="1012" spans="2:6" x14ac:dyDescent="0.25">
      <c r="B1012" s="18" t="s">
        <v>11</v>
      </c>
      <c r="C1012" s="19">
        <f>40034+(3*365)</f>
        <v>41129</v>
      </c>
      <c r="D1012" s="18" t="s">
        <v>60</v>
      </c>
      <c r="E1012" s="18" t="s">
        <v>63</v>
      </c>
      <c r="F1012" s="21">
        <v>270</v>
      </c>
    </row>
    <row r="1013" spans="2:6" x14ac:dyDescent="0.25">
      <c r="B1013" s="18" t="s">
        <v>8</v>
      </c>
      <c r="C1013" s="19">
        <f>40346+(3*365)</f>
        <v>41441</v>
      </c>
      <c r="D1013" s="18" t="s">
        <v>81</v>
      </c>
      <c r="E1013" s="18" t="s">
        <v>63</v>
      </c>
      <c r="F1013" s="21">
        <v>1088</v>
      </c>
    </row>
    <row r="1014" spans="2:6" x14ac:dyDescent="0.25">
      <c r="B1014" s="18" t="s">
        <v>25</v>
      </c>
      <c r="C1014" s="19">
        <f>41177+(3*365)</f>
        <v>42272</v>
      </c>
      <c r="D1014" s="18" t="s">
        <v>78</v>
      </c>
      <c r="E1014" s="18" t="s">
        <v>75</v>
      </c>
      <c r="F1014" s="21">
        <v>72</v>
      </c>
    </row>
    <row r="1015" spans="2:6" x14ac:dyDescent="0.25">
      <c r="B1015" s="18" t="s">
        <v>18</v>
      </c>
      <c r="C1015" s="19">
        <f>40440+(3*365)</f>
        <v>41535</v>
      </c>
      <c r="D1015" s="18" t="s">
        <v>68</v>
      </c>
      <c r="E1015" s="18" t="s">
        <v>75</v>
      </c>
      <c r="F1015" s="21">
        <v>414</v>
      </c>
    </row>
    <row r="1016" spans="2:6" x14ac:dyDescent="0.25">
      <c r="B1016" s="18" t="s">
        <v>25</v>
      </c>
      <c r="C1016" s="19">
        <f>40215+(3*365)</f>
        <v>41310</v>
      </c>
      <c r="D1016" s="18" t="s">
        <v>78</v>
      </c>
      <c r="E1016" s="18" t="s">
        <v>75</v>
      </c>
      <c r="F1016" s="21">
        <v>648</v>
      </c>
    </row>
    <row r="1017" spans="2:6" x14ac:dyDescent="0.25">
      <c r="B1017" s="18" t="s">
        <v>31</v>
      </c>
      <c r="C1017" s="19">
        <f>40726+(3*365)</f>
        <v>41821</v>
      </c>
      <c r="D1017" s="18" t="s">
        <v>70</v>
      </c>
      <c r="E1017" s="18" t="s">
        <v>61</v>
      </c>
      <c r="F1017" s="21">
        <v>234</v>
      </c>
    </row>
    <row r="1018" spans="2:6" x14ac:dyDescent="0.25">
      <c r="B1018" s="18" t="s">
        <v>9</v>
      </c>
      <c r="C1018" s="19">
        <f>40574+(3*365)</f>
        <v>41669</v>
      </c>
      <c r="D1018" s="18" t="s">
        <v>62</v>
      </c>
      <c r="E1018" s="18" t="s">
        <v>59</v>
      </c>
      <c r="F1018" s="21">
        <v>180</v>
      </c>
    </row>
    <row r="1019" spans="2:6" x14ac:dyDescent="0.25">
      <c r="B1019" s="18" t="s">
        <v>9</v>
      </c>
      <c r="C1019" s="19">
        <f>40517+(3*365)</f>
        <v>41612</v>
      </c>
      <c r="D1019" s="18" t="s">
        <v>80</v>
      </c>
      <c r="E1019" s="18" t="s">
        <v>63</v>
      </c>
      <c r="F1019" s="21">
        <v>252</v>
      </c>
    </row>
    <row r="1020" spans="2:6" x14ac:dyDescent="0.25">
      <c r="B1020" s="18" t="s">
        <v>11</v>
      </c>
      <c r="C1020" s="19">
        <f>40707+(3*365)</f>
        <v>41802</v>
      </c>
      <c r="D1020" s="18" t="s">
        <v>60</v>
      </c>
      <c r="E1020" s="18" t="s">
        <v>63</v>
      </c>
      <c r="F1020" s="21">
        <v>525</v>
      </c>
    </row>
    <row r="1021" spans="2:6" x14ac:dyDescent="0.25">
      <c r="B1021" s="18" t="s">
        <v>9</v>
      </c>
      <c r="C1021" s="19">
        <f>40846+(3*365)</f>
        <v>41941</v>
      </c>
      <c r="D1021" s="18" t="s">
        <v>80</v>
      </c>
      <c r="E1021" s="18" t="s">
        <v>72</v>
      </c>
      <c r="F1021" s="21">
        <v>954</v>
      </c>
    </row>
    <row r="1022" spans="2:6" x14ac:dyDescent="0.25">
      <c r="B1022" s="18" t="s">
        <v>18</v>
      </c>
      <c r="C1022" s="19">
        <f>40522+(3*365)</f>
        <v>41617</v>
      </c>
      <c r="D1022" s="18" t="s">
        <v>71</v>
      </c>
      <c r="E1022" s="18" t="s">
        <v>69</v>
      </c>
      <c r="F1022" s="21">
        <v>1080</v>
      </c>
    </row>
    <row r="1023" spans="2:6" x14ac:dyDescent="0.25">
      <c r="B1023" s="18" t="s">
        <v>31</v>
      </c>
      <c r="C1023" s="19">
        <f>41236+(3*365)</f>
        <v>42331</v>
      </c>
      <c r="D1023" s="18" t="s">
        <v>76</v>
      </c>
      <c r="E1023" s="18" t="s">
        <v>61</v>
      </c>
      <c r="F1023" s="21">
        <v>168</v>
      </c>
    </row>
    <row r="1024" spans="2:6" x14ac:dyDescent="0.25">
      <c r="B1024" s="18" t="s">
        <v>25</v>
      </c>
      <c r="C1024" s="19">
        <f>40452+(3*365)</f>
        <v>41547</v>
      </c>
      <c r="D1024" s="18" t="s">
        <v>78</v>
      </c>
      <c r="E1024" s="18" t="s">
        <v>59</v>
      </c>
      <c r="F1024" s="21">
        <v>90</v>
      </c>
    </row>
    <row r="1025" spans="2:6" x14ac:dyDescent="0.25">
      <c r="B1025" s="18" t="s">
        <v>18</v>
      </c>
      <c r="C1025" s="19">
        <f>40182+(3*365)</f>
        <v>41277</v>
      </c>
      <c r="D1025" s="18" t="s">
        <v>68</v>
      </c>
      <c r="E1025" s="18" t="s">
        <v>72</v>
      </c>
      <c r="F1025" s="21">
        <v>384</v>
      </c>
    </row>
    <row r="1026" spans="2:6" x14ac:dyDescent="0.25">
      <c r="B1026" s="18" t="s">
        <v>21</v>
      </c>
      <c r="C1026" s="19">
        <f>41077+(3*365)</f>
        <v>42172</v>
      </c>
      <c r="D1026" s="18" t="s">
        <v>73</v>
      </c>
      <c r="E1026" s="18" t="s">
        <v>59</v>
      </c>
      <c r="F1026" s="21">
        <v>184</v>
      </c>
    </row>
    <row r="1027" spans="2:6" x14ac:dyDescent="0.25">
      <c r="B1027" s="18" t="s">
        <v>10</v>
      </c>
      <c r="C1027" s="19">
        <f>40285+(3*365)</f>
        <v>41380</v>
      </c>
      <c r="D1027" s="18" t="s">
        <v>65</v>
      </c>
      <c r="E1027" s="18" t="s">
        <v>72</v>
      </c>
      <c r="F1027" s="21">
        <v>654</v>
      </c>
    </row>
    <row r="1028" spans="2:6" x14ac:dyDescent="0.25">
      <c r="B1028" s="18" t="s">
        <v>21</v>
      </c>
      <c r="C1028" s="19">
        <f>40892+(3*365)</f>
        <v>41987</v>
      </c>
      <c r="D1028" s="18" t="s">
        <v>73</v>
      </c>
      <c r="E1028" s="18" t="s">
        <v>61</v>
      </c>
      <c r="F1028" s="21">
        <v>972</v>
      </c>
    </row>
    <row r="1029" spans="2:6" x14ac:dyDescent="0.25">
      <c r="B1029" s="18" t="s">
        <v>11</v>
      </c>
      <c r="C1029" s="19">
        <f>40051+(3*365)</f>
        <v>41146</v>
      </c>
      <c r="D1029" s="18" t="s">
        <v>60</v>
      </c>
      <c r="E1029" s="18" t="s">
        <v>64</v>
      </c>
      <c r="F1029" s="21">
        <v>4578</v>
      </c>
    </row>
    <row r="1030" spans="2:6" x14ac:dyDescent="0.25">
      <c r="B1030" s="18" t="s">
        <v>8</v>
      </c>
      <c r="C1030" s="19">
        <f>40631+(3*365)</f>
        <v>41726</v>
      </c>
      <c r="D1030" s="18" t="s">
        <v>77</v>
      </c>
      <c r="E1030" s="18" t="s">
        <v>66</v>
      </c>
      <c r="F1030" s="21">
        <v>360</v>
      </c>
    </row>
    <row r="1031" spans="2:6" x14ac:dyDescent="0.25">
      <c r="B1031" s="18" t="s">
        <v>8</v>
      </c>
      <c r="C1031" s="19">
        <f>41156+(3*365)</f>
        <v>42251</v>
      </c>
      <c r="D1031" s="18" t="s">
        <v>77</v>
      </c>
      <c r="E1031" s="18" t="s">
        <v>61</v>
      </c>
      <c r="F1031" s="21">
        <v>2196</v>
      </c>
    </row>
    <row r="1032" spans="2:6" x14ac:dyDescent="0.25">
      <c r="B1032" s="18" t="s">
        <v>25</v>
      </c>
      <c r="C1032" s="19">
        <f>40869+(3*365)</f>
        <v>41964</v>
      </c>
      <c r="D1032" s="18" t="s">
        <v>78</v>
      </c>
      <c r="E1032" s="18" t="s">
        <v>66</v>
      </c>
      <c r="F1032" s="21">
        <v>2156</v>
      </c>
    </row>
    <row r="1033" spans="2:6" x14ac:dyDescent="0.25">
      <c r="B1033" s="18" t="s">
        <v>18</v>
      </c>
      <c r="C1033" s="19">
        <f>41102+(3*365)</f>
        <v>42197</v>
      </c>
      <c r="D1033" s="18" t="s">
        <v>71</v>
      </c>
      <c r="E1033" s="18" t="s">
        <v>69</v>
      </c>
      <c r="F1033" s="21">
        <v>2850</v>
      </c>
    </row>
    <row r="1034" spans="2:6" x14ac:dyDescent="0.25">
      <c r="B1034" s="18" t="s">
        <v>8</v>
      </c>
      <c r="C1034" s="19">
        <f>39849+(3*365)</f>
        <v>40944</v>
      </c>
      <c r="D1034" s="18" t="s">
        <v>77</v>
      </c>
      <c r="E1034" s="18" t="s">
        <v>61</v>
      </c>
      <c r="F1034" s="21">
        <v>366</v>
      </c>
    </row>
    <row r="1035" spans="2:6" x14ac:dyDescent="0.25">
      <c r="B1035" s="18" t="s">
        <v>25</v>
      </c>
      <c r="C1035" s="19">
        <f>40028+(3*365)</f>
        <v>41123</v>
      </c>
      <c r="D1035" s="18" t="s">
        <v>79</v>
      </c>
      <c r="E1035" s="18" t="s">
        <v>75</v>
      </c>
      <c r="F1035" s="21">
        <v>150</v>
      </c>
    </row>
    <row r="1036" spans="2:6" x14ac:dyDescent="0.25">
      <c r="B1036" s="18" t="s">
        <v>21</v>
      </c>
      <c r="C1036" s="19">
        <f>39914+(3*365)</f>
        <v>41009</v>
      </c>
      <c r="D1036" s="18" t="s">
        <v>58</v>
      </c>
      <c r="E1036" s="18" t="s">
        <v>66</v>
      </c>
      <c r="F1036" s="21">
        <v>92</v>
      </c>
    </row>
    <row r="1037" spans="2:6" x14ac:dyDescent="0.25">
      <c r="B1037" s="18" t="s">
        <v>21</v>
      </c>
      <c r="C1037" s="19">
        <f>40925+(3*365)</f>
        <v>42020</v>
      </c>
      <c r="D1037" s="18" t="s">
        <v>58</v>
      </c>
      <c r="E1037" s="18" t="s">
        <v>59</v>
      </c>
      <c r="F1037" s="21">
        <v>560</v>
      </c>
    </row>
    <row r="1038" spans="2:6" x14ac:dyDescent="0.25">
      <c r="B1038" s="18" t="s">
        <v>31</v>
      </c>
      <c r="C1038" s="19">
        <f>40860+(3*365)</f>
        <v>41955</v>
      </c>
      <c r="D1038" s="18" t="s">
        <v>76</v>
      </c>
      <c r="E1038" s="18" t="s">
        <v>72</v>
      </c>
      <c r="F1038" s="21">
        <v>1848</v>
      </c>
    </row>
    <row r="1039" spans="2:6" x14ac:dyDescent="0.25">
      <c r="B1039" s="18" t="s">
        <v>25</v>
      </c>
      <c r="C1039" s="19">
        <f>40947+(3*365)</f>
        <v>42042</v>
      </c>
      <c r="D1039" s="18" t="s">
        <v>79</v>
      </c>
      <c r="E1039" s="18" t="s">
        <v>75</v>
      </c>
      <c r="F1039" s="21">
        <v>88</v>
      </c>
    </row>
    <row r="1040" spans="2:6" x14ac:dyDescent="0.25">
      <c r="B1040" s="18" t="s">
        <v>10</v>
      </c>
      <c r="C1040" s="19">
        <f>41020+(3*365)</f>
        <v>42115</v>
      </c>
      <c r="D1040" s="18" t="s">
        <v>67</v>
      </c>
      <c r="E1040" s="18" t="s">
        <v>59</v>
      </c>
      <c r="F1040" s="21">
        <v>744</v>
      </c>
    </row>
    <row r="1041" spans="2:6" x14ac:dyDescent="0.25">
      <c r="B1041" s="18" t="s">
        <v>8</v>
      </c>
      <c r="C1041" s="19">
        <f>40341+(3*365)</f>
        <v>41436</v>
      </c>
      <c r="D1041" s="18" t="s">
        <v>77</v>
      </c>
      <c r="E1041" s="18" t="s">
        <v>66</v>
      </c>
      <c r="F1041" s="21">
        <v>152</v>
      </c>
    </row>
    <row r="1042" spans="2:6" x14ac:dyDescent="0.25">
      <c r="B1042" s="18" t="s">
        <v>8</v>
      </c>
      <c r="C1042" s="19">
        <f>40117+(3*365)</f>
        <v>41212</v>
      </c>
      <c r="D1042" s="18" t="s">
        <v>77</v>
      </c>
      <c r="E1042" s="18" t="s">
        <v>64</v>
      </c>
      <c r="F1042" s="21">
        <v>6876</v>
      </c>
    </row>
    <row r="1043" spans="2:6" x14ac:dyDescent="0.25">
      <c r="B1043" s="18" t="s">
        <v>18</v>
      </c>
      <c r="C1043" s="19">
        <f>40238+(3*365)</f>
        <v>41333</v>
      </c>
      <c r="D1043" s="18" t="s">
        <v>68</v>
      </c>
      <c r="E1043" s="18" t="s">
        <v>75</v>
      </c>
      <c r="F1043" s="21">
        <v>87</v>
      </c>
    </row>
    <row r="1044" spans="2:6" x14ac:dyDescent="0.25">
      <c r="B1044" s="18" t="s">
        <v>25</v>
      </c>
      <c r="C1044" s="19">
        <f>41193+(3*365)</f>
        <v>42288</v>
      </c>
      <c r="D1044" s="18" t="s">
        <v>78</v>
      </c>
      <c r="E1044" s="18" t="s">
        <v>69</v>
      </c>
      <c r="F1044" s="21">
        <v>540</v>
      </c>
    </row>
    <row r="1045" spans="2:6" x14ac:dyDescent="0.25">
      <c r="B1045" s="18" t="s">
        <v>25</v>
      </c>
      <c r="C1045" s="19">
        <f>39828+(3*365)</f>
        <v>40923</v>
      </c>
      <c r="D1045" s="18" t="s">
        <v>78</v>
      </c>
      <c r="E1045" s="18" t="s">
        <v>64</v>
      </c>
      <c r="F1045" s="21">
        <v>6224</v>
      </c>
    </row>
    <row r="1046" spans="2:6" x14ac:dyDescent="0.25">
      <c r="B1046" s="18" t="s">
        <v>11</v>
      </c>
      <c r="C1046" s="19">
        <f>40636+(3*365)</f>
        <v>41731</v>
      </c>
      <c r="D1046" s="18" t="s">
        <v>60</v>
      </c>
      <c r="E1046" s="18" t="s">
        <v>59</v>
      </c>
      <c r="F1046" s="21">
        <v>465</v>
      </c>
    </row>
    <row r="1047" spans="2:6" x14ac:dyDescent="0.25">
      <c r="B1047" s="18" t="s">
        <v>11</v>
      </c>
      <c r="C1047" s="19">
        <f>40244+(3*365)</f>
        <v>41339</v>
      </c>
      <c r="D1047" s="18" t="s">
        <v>74</v>
      </c>
      <c r="E1047" s="18" t="s">
        <v>69</v>
      </c>
      <c r="F1047" s="21">
        <v>840</v>
      </c>
    </row>
    <row r="1048" spans="2:6" x14ac:dyDescent="0.25">
      <c r="B1048" s="18" t="s">
        <v>8</v>
      </c>
      <c r="C1048" s="19">
        <f>40956+(3*365)</f>
        <v>42051</v>
      </c>
      <c r="D1048" s="18" t="s">
        <v>77</v>
      </c>
      <c r="E1048" s="18" t="s">
        <v>61</v>
      </c>
      <c r="F1048" s="21">
        <v>1376</v>
      </c>
    </row>
    <row r="1049" spans="2:6" x14ac:dyDescent="0.25">
      <c r="B1049" s="18" t="s">
        <v>11</v>
      </c>
      <c r="C1049" s="19">
        <f>41104+(3*365)</f>
        <v>42199</v>
      </c>
      <c r="D1049" s="18" t="s">
        <v>60</v>
      </c>
      <c r="E1049" s="18" t="s">
        <v>75</v>
      </c>
      <c r="F1049" s="21">
        <v>1296</v>
      </c>
    </row>
    <row r="1050" spans="2:6" x14ac:dyDescent="0.25">
      <c r="B1050" s="18" t="s">
        <v>31</v>
      </c>
      <c r="C1050" s="19">
        <f>40323+(3*365)</f>
        <v>41418</v>
      </c>
      <c r="D1050" s="18" t="s">
        <v>70</v>
      </c>
      <c r="E1050" s="18" t="s">
        <v>69</v>
      </c>
      <c r="F1050" s="21">
        <v>1515</v>
      </c>
    </row>
    <row r="1051" spans="2:6" x14ac:dyDescent="0.25">
      <c r="B1051" s="18" t="s">
        <v>10</v>
      </c>
      <c r="C1051" s="19">
        <f>40796+(3*365)</f>
        <v>41891</v>
      </c>
      <c r="D1051" s="18" t="s">
        <v>67</v>
      </c>
      <c r="E1051" s="18" t="s">
        <v>63</v>
      </c>
      <c r="F1051" s="21">
        <v>350</v>
      </c>
    </row>
    <row r="1052" spans="2:6" x14ac:dyDescent="0.25">
      <c r="B1052" s="18" t="s">
        <v>25</v>
      </c>
      <c r="C1052" s="19">
        <f>40723+(3*365)</f>
        <v>41818</v>
      </c>
      <c r="D1052" s="18" t="s">
        <v>78</v>
      </c>
      <c r="E1052" s="18" t="s">
        <v>72</v>
      </c>
      <c r="F1052" s="21">
        <v>1032</v>
      </c>
    </row>
    <row r="1053" spans="2:6" x14ac:dyDescent="0.25">
      <c r="B1053" s="18" t="s">
        <v>11</v>
      </c>
      <c r="C1053" s="19">
        <f>40358+(3*365)</f>
        <v>41453</v>
      </c>
      <c r="D1053" s="18" t="s">
        <v>74</v>
      </c>
      <c r="E1053" s="18" t="s">
        <v>66</v>
      </c>
      <c r="F1053" s="21">
        <v>189</v>
      </c>
    </row>
    <row r="1054" spans="2:6" x14ac:dyDescent="0.25">
      <c r="B1054" s="18" t="s">
        <v>10</v>
      </c>
      <c r="C1054" s="19">
        <f>40594+(3*365)</f>
        <v>41689</v>
      </c>
      <c r="D1054" s="18" t="s">
        <v>67</v>
      </c>
      <c r="E1054" s="18" t="s">
        <v>69</v>
      </c>
      <c r="F1054" s="21">
        <v>322</v>
      </c>
    </row>
    <row r="1055" spans="2:6" x14ac:dyDescent="0.25">
      <c r="B1055" s="18" t="s">
        <v>21</v>
      </c>
      <c r="C1055" s="19">
        <f>40130+(3*365)</f>
        <v>41225</v>
      </c>
      <c r="D1055" s="18" t="s">
        <v>58</v>
      </c>
      <c r="E1055" s="18" t="s">
        <v>66</v>
      </c>
      <c r="F1055" s="21">
        <v>177</v>
      </c>
    </row>
    <row r="1056" spans="2:6" x14ac:dyDescent="0.25">
      <c r="B1056" s="18" t="s">
        <v>18</v>
      </c>
      <c r="C1056" s="19">
        <f>40382+(3*365)</f>
        <v>41477</v>
      </c>
      <c r="D1056" s="18" t="s">
        <v>71</v>
      </c>
      <c r="E1056" s="18" t="s">
        <v>69</v>
      </c>
      <c r="F1056" s="21">
        <v>1512</v>
      </c>
    </row>
    <row r="1057" spans="2:6" x14ac:dyDescent="0.25">
      <c r="B1057" s="18" t="s">
        <v>21</v>
      </c>
      <c r="C1057" s="19">
        <f>40372+(3*365)</f>
        <v>41467</v>
      </c>
      <c r="D1057" s="18" t="s">
        <v>58</v>
      </c>
      <c r="E1057" s="18" t="s">
        <v>64</v>
      </c>
      <c r="F1057" s="21">
        <v>780</v>
      </c>
    </row>
    <row r="1058" spans="2:6" x14ac:dyDescent="0.25">
      <c r="B1058" s="18" t="s">
        <v>9</v>
      </c>
      <c r="C1058" s="19">
        <f>40271+(3*365)</f>
        <v>41366</v>
      </c>
      <c r="D1058" s="18" t="s">
        <v>62</v>
      </c>
      <c r="E1058" s="18" t="s">
        <v>63</v>
      </c>
      <c r="F1058" s="21">
        <v>200</v>
      </c>
    </row>
    <row r="1059" spans="2:6" x14ac:dyDescent="0.25">
      <c r="B1059" s="18" t="s">
        <v>18</v>
      </c>
      <c r="C1059" s="19">
        <f>41063+(3*365)</f>
        <v>42158</v>
      </c>
      <c r="D1059" s="18" t="s">
        <v>68</v>
      </c>
      <c r="E1059" s="18" t="s">
        <v>61</v>
      </c>
      <c r="F1059" s="21">
        <v>936</v>
      </c>
    </row>
    <row r="1060" spans="2:6" x14ac:dyDescent="0.25">
      <c r="B1060" s="18" t="s">
        <v>9</v>
      </c>
      <c r="C1060" s="19">
        <f>41028+(3*365)</f>
        <v>42123</v>
      </c>
      <c r="D1060" s="18" t="s">
        <v>62</v>
      </c>
      <c r="E1060" s="18" t="s">
        <v>72</v>
      </c>
      <c r="F1060" s="21">
        <v>518</v>
      </c>
    </row>
    <row r="1061" spans="2:6" x14ac:dyDescent="0.25">
      <c r="B1061" s="18" t="s">
        <v>11</v>
      </c>
      <c r="C1061" s="19">
        <f>41091+(3*365)</f>
        <v>42186</v>
      </c>
      <c r="D1061" s="18" t="s">
        <v>60</v>
      </c>
      <c r="E1061" s="18" t="s">
        <v>66</v>
      </c>
      <c r="F1061" s="21">
        <v>2628</v>
      </c>
    </row>
    <row r="1062" spans="2:6" x14ac:dyDescent="0.25">
      <c r="B1062" s="18" t="s">
        <v>31</v>
      </c>
      <c r="C1062" s="19">
        <f>41174+(3*365)</f>
        <v>42269</v>
      </c>
      <c r="D1062" s="18" t="s">
        <v>76</v>
      </c>
      <c r="E1062" s="18" t="s">
        <v>64</v>
      </c>
      <c r="F1062" s="21">
        <v>11403</v>
      </c>
    </row>
    <row r="1063" spans="2:6" x14ac:dyDescent="0.25">
      <c r="B1063" s="18" t="s">
        <v>11</v>
      </c>
      <c r="C1063" s="19">
        <f>40854+(3*365)</f>
        <v>41949</v>
      </c>
      <c r="D1063" s="18" t="s">
        <v>60</v>
      </c>
      <c r="E1063" s="18" t="s">
        <v>72</v>
      </c>
      <c r="F1063" s="21">
        <v>1950</v>
      </c>
    </row>
    <row r="1064" spans="2:6" x14ac:dyDescent="0.25">
      <c r="B1064" s="18" t="s">
        <v>18</v>
      </c>
      <c r="C1064" s="19">
        <f>41213+(3*365)</f>
        <v>42308</v>
      </c>
      <c r="D1064" s="18" t="s">
        <v>68</v>
      </c>
      <c r="E1064" s="18" t="s">
        <v>59</v>
      </c>
      <c r="F1064" s="21">
        <v>102</v>
      </c>
    </row>
    <row r="1065" spans="2:6" x14ac:dyDescent="0.25">
      <c r="B1065" s="18" t="s">
        <v>11</v>
      </c>
      <c r="C1065" s="19">
        <f>40976+(3*365)</f>
        <v>42071</v>
      </c>
      <c r="D1065" s="18" t="s">
        <v>60</v>
      </c>
      <c r="E1065" s="18" t="s">
        <v>75</v>
      </c>
      <c r="F1065" s="21">
        <v>288</v>
      </c>
    </row>
    <row r="1066" spans="2:6" x14ac:dyDescent="0.25">
      <c r="B1066" s="18" t="s">
        <v>9</v>
      </c>
      <c r="C1066" s="19">
        <f>40655+(3*365)</f>
        <v>41750</v>
      </c>
      <c r="D1066" s="18" t="s">
        <v>80</v>
      </c>
      <c r="E1066" s="18" t="s">
        <v>72</v>
      </c>
      <c r="F1066" s="21">
        <v>3855</v>
      </c>
    </row>
    <row r="1067" spans="2:6" x14ac:dyDescent="0.25">
      <c r="B1067" s="18" t="s">
        <v>25</v>
      </c>
      <c r="C1067" s="19">
        <f>40469+(3*365)</f>
        <v>41564</v>
      </c>
      <c r="D1067" s="18" t="s">
        <v>78</v>
      </c>
      <c r="E1067" s="18" t="s">
        <v>75</v>
      </c>
      <c r="F1067" s="21">
        <v>570</v>
      </c>
    </row>
    <row r="1068" spans="2:6" x14ac:dyDescent="0.25">
      <c r="B1068" s="18" t="s">
        <v>8</v>
      </c>
      <c r="C1068" s="19">
        <f>40418+(3*365)</f>
        <v>41513</v>
      </c>
      <c r="D1068" s="18" t="s">
        <v>81</v>
      </c>
      <c r="E1068" s="18" t="s">
        <v>59</v>
      </c>
      <c r="F1068" s="21">
        <v>240</v>
      </c>
    </row>
    <row r="1069" spans="2:6" x14ac:dyDescent="0.25">
      <c r="B1069" s="18" t="s">
        <v>18</v>
      </c>
      <c r="C1069" s="19">
        <f>40009+(3*365)</f>
        <v>41104</v>
      </c>
      <c r="D1069" s="18" t="s">
        <v>71</v>
      </c>
      <c r="E1069" s="18" t="s">
        <v>69</v>
      </c>
      <c r="F1069" s="21">
        <v>174</v>
      </c>
    </row>
    <row r="1070" spans="2:6" x14ac:dyDescent="0.25">
      <c r="B1070" s="18" t="s">
        <v>9</v>
      </c>
      <c r="C1070" s="19">
        <f>40395+(3*365)</f>
        <v>41490</v>
      </c>
      <c r="D1070" s="18" t="s">
        <v>80</v>
      </c>
      <c r="E1070" s="18" t="s">
        <v>64</v>
      </c>
      <c r="F1070" s="21">
        <v>1824</v>
      </c>
    </row>
    <row r="1071" spans="2:6" x14ac:dyDescent="0.25">
      <c r="B1071" s="18" t="s">
        <v>21</v>
      </c>
      <c r="C1071" s="19">
        <f>40453+(3*365)</f>
        <v>41548</v>
      </c>
      <c r="D1071" s="18" t="s">
        <v>58</v>
      </c>
      <c r="E1071" s="18" t="s">
        <v>59</v>
      </c>
      <c r="F1071" s="21">
        <v>124</v>
      </c>
    </row>
    <row r="1072" spans="2:6" x14ac:dyDescent="0.25">
      <c r="B1072" s="18" t="s">
        <v>9</v>
      </c>
      <c r="C1072" s="19">
        <f>41088+(3*365)</f>
        <v>42183</v>
      </c>
      <c r="D1072" s="18" t="s">
        <v>80</v>
      </c>
      <c r="E1072" s="18" t="s">
        <v>61</v>
      </c>
      <c r="F1072" s="21">
        <v>675</v>
      </c>
    </row>
    <row r="1073" spans="2:6" x14ac:dyDescent="0.25">
      <c r="B1073" s="18" t="s">
        <v>18</v>
      </c>
      <c r="C1073" s="19">
        <f>41034+(3*365)</f>
        <v>42129</v>
      </c>
      <c r="D1073" s="18" t="s">
        <v>68</v>
      </c>
      <c r="E1073" s="18" t="s">
        <v>66</v>
      </c>
      <c r="F1073" s="21">
        <v>300</v>
      </c>
    </row>
    <row r="1074" spans="2:6" x14ac:dyDescent="0.25">
      <c r="B1074" s="18" t="s">
        <v>10</v>
      </c>
      <c r="C1074" s="19">
        <f>40314+(3*365)</f>
        <v>41409</v>
      </c>
      <c r="D1074" s="18" t="s">
        <v>67</v>
      </c>
      <c r="E1074" s="18" t="s">
        <v>63</v>
      </c>
      <c r="F1074" s="21">
        <v>888</v>
      </c>
    </row>
    <row r="1075" spans="2:6" x14ac:dyDescent="0.25">
      <c r="B1075" s="18" t="s">
        <v>21</v>
      </c>
      <c r="C1075" s="19">
        <f>41165+(3*365)</f>
        <v>42260</v>
      </c>
      <c r="D1075" s="18" t="s">
        <v>73</v>
      </c>
      <c r="E1075" s="18" t="s">
        <v>69</v>
      </c>
      <c r="F1075" s="21">
        <v>1368</v>
      </c>
    </row>
    <row r="1076" spans="2:6" x14ac:dyDescent="0.25">
      <c r="B1076" s="18" t="s">
        <v>11</v>
      </c>
      <c r="C1076" s="19">
        <f>40719+(3*365)</f>
        <v>41814</v>
      </c>
      <c r="D1076" s="18" t="s">
        <v>74</v>
      </c>
      <c r="E1076" s="18" t="s">
        <v>66</v>
      </c>
      <c r="F1076" s="21">
        <v>534</v>
      </c>
    </row>
    <row r="1077" spans="2:6" x14ac:dyDescent="0.25">
      <c r="B1077" s="18" t="s">
        <v>18</v>
      </c>
      <c r="C1077" s="19">
        <f>40250+(3*365)</f>
        <v>41345</v>
      </c>
      <c r="D1077" s="18" t="s">
        <v>68</v>
      </c>
      <c r="E1077" s="18" t="s">
        <v>66</v>
      </c>
      <c r="F1077" s="21">
        <v>240</v>
      </c>
    </row>
    <row r="1078" spans="2:6" x14ac:dyDescent="0.25">
      <c r="B1078" s="18" t="s">
        <v>25</v>
      </c>
      <c r="C1078" s="19">
        <f>40283+(3*365)</f>
        <v>41378</v>
      </c>
      <c r="D1078" s="18" t="s">
        <v>79</v>
      </c>
      <c r="E1078" s="18" t="s">
        <v>75</v>
      </c>
      <c r="F1078" s="21">
        <v>672</v>
      </c>
    </row>
    <row r="1079" spans="2:6" x14ac:dyDescent="0.25">
      <c r="B1079" s="18" t="s">
        <v>9</v>
      </c>
      <c r="C1079" s="19">
        <f>40007+(3*365)</f>
        <v>41102</v>
      </c>
      <c r="D1079" s="18" t="s">
        <v>80</v>
      </c>
      <c r="E1079" s="18" t="s">
        <v>64</v>
      </c>
      <c r="F1079" s="21">
        <v>7390</v>
      </c>
    </row>
    <row r="1080" spans="2:6" x14ac:dyDescent="0.25">
      <c r="B1080" s="18" t="s">
        <v>11</v>
      </c>
      <c r="C1080" s="19">
        <f>39827+(3*365)</f>
        <v>40922</v>
      </c>
      <c r="D1080" s="18" t="s">
        <v>60</v>
      </c>
      <c r="E1080" s="18" t="s">
        <v>69</v>
      </c>
      <c r="F1080" s="21">
        <v>1170</v>
      </c>
    </row>
    <row r="1081" spans="2:6" x14ac:dyDescent="0.25">
      <c r="B1081" s="18" t="s">
        <v>11</v>
      </c>
      <c r="C1081" s="19">
        <f>40075+(3*365)</f>
        <v>41170</v>
      </c>
      <c r="D1081" s="18" t="s">
        <v>74</v>
      </c>
      <c r="E1081" s="18" t="s">
        <v>63</v>
      </c>
      <c r="F1081" s="21">
        <v>540</v>
      </c>
    </row>
    <row r="1082" spans="2:6" x14ac:dyDescent="0.25">
      <c r="B1082" s="18" t="s">
        <v>8</v>
      </c>
      <c r="C1082" s="19">
        <f>41195+(3*365)</f>
        <v>42290</v>
      </c>
      <c r="D1082" s="18" t="s">
        <v>77</v>
      </c>
      <c r="E1082" s="18" t="s">
        <v>69</v>
      </c>
      <c r="F1082" s="21">
        <v>648</v>
      </c>
    </row>
    <row r="1083" spans="2:6" x14ac:dyDescent="0.25">
      <c r="B1083" s="18" t="s">
        <v>21</v>
      </c>
      <c r="C1083" s="19">
        <f>40808+(3*365)</f>
        <v>41903</v>
      </c>
      <c r="D1083" s="18" t="s">
        <v>73</v>
      </c>
      <c r="E1083" s="18" t="s">
        <v>66</v>
      </c>
      <c r="F1083" s="21">
        <v>258</v>
      </c>
    </row>
    <row r="1084" spans="2:6" x14ac:dyDescent="0.25">
      <c r="B1084" s="18" t="s">
        <v>10</v>
      </c>
      <c r="C1084" s="19">
        <f>39930+(3*365)</f>
        <v>41025</v>
      </c>
      <c r="D1084" s="18" t="s">
        <v>67</v>
      </c>
      <c r="E1084" s="18" t="s">
        <v>69</v>
      </c>
      <c r="F1084" s="21">
        <v>428</v>
      </c>
    </row>
    <row r="1085" spans="2:6" x14ac:dyDescent="0.25">
      <c r="B1085" s="18" t="s">
        <v>9</v>
      </c>
      <c r="C1085" s="19">
        <f>41248+(3*365)</f>
        <v>42343</v>
      </c>
      <c r="D1085" s="18" t="s">
        <v>80</v>
      </c>
      <c r="E1085" s="18" t="s">
        <v>75</v>
      </c>
      <c r="F1085" s="21">
        <v>21</v>
      </c>
    </row>
    <row r="1086" spans="2:6" x14ac:dyDescent="0.25">
      <c r="B1086" s="18" t="s">
        <v>9</v>
      </c>
      <c r="C1086" s="19">
        <f>39907+(3*365)</f>
        <v>41002</v>
      </c>
      <c r="D1086" s="18" t="s">
        <v>80</v>
      </c>
      <c r="E1086" s="18" t="s">
        <v>66</v>
      </c>
      <c r="F1086" s="21">
        <v>784</v>
      </c>
    </row>
    <row r="1087" spans="2:6" x14ac:dyDescent="0.25">
      <c r="B1087" s="18" t="s">
        <v>21</v>
      </c>
      <c r="C1087" s="19">
        <f>41099+(3*365)</f>
        <v>42194</v>
      </c>
      <c r="D1087" s="18" t="s">
        <v>58</v>
      </c>
      <c r="E1087" s="18" t="s">
        <v>63</v>
      </c>
      <c r="F1087" s="21">
        <v>496</v>
      </c>
    </row>
    <row r="1088" spans="2:6" x14ac:dyDescent="0.25">
      <c r="B1088" s="18" t="s">
        <v>31</v>
      </c>
      <c r="C1088" s="19">
        <f>39936+(3*365)</f>
        <v>41031</v>
      </c>
      <c r="D1088" s="18" t="s">
        <v>70</v>
      </c>
      <c r="E1088" s="18" t="s">
        <v>75</v>
      </c>
      <c r="F1088" s="21">
        <v>312</v>
      </c>
    </row>
    <row r="1089" spans="2:6" x14ac:dyDescent="0.25">
      <c r="B1089" s="18" t="s">
        <v>8</v>
      </c>
      <c r="C1089" s="19">
        <f>40418+(3*365)</f>
        <v>41513</v>
      </c>
      <c r="D1089" s="18" t="s">
        <v>77</v>
      </c>
      <c r="E1089" s="18" t="s">
        <v>61</v>
      </c>
      <c r="F1089" s="21">
        <v>1464</v>
      </c>
    </row>
    <row r="1090" spans="2:6" x14ac:dyDescent="0.25">
      <c r="B1090" s="18" t="s">
        <v>8</v>
      </c>
      <c r="C1090" s="19">
        <f>40445+(3*365)</f>
        <v>41540</v>
      </c>
      <c r="D1090" s="18" t="s">
        <v>81</v>
      </c>
      <c r="E1090" s="18" t="s">
        <v>69</v>
      </c>
      <c r="F1090" s="21">
        <v>1104</v>
      </c>
    </row>
    <row r="1091" spans="2:6" x14ac:dyDescent="0.25">
      <c r="B1091" s="18" t="s">
        <v>10</v>
      </c>
      <c r="C1091" s="19">
        <f>40992+(3*365)</f>
        <v>42087</v>
      </c>
      <c r="D1091" s="18" t="s">
        <v>65</v>
      </c>
      <c r="E1091" s="18" t="s">
        <v>63</v>
      </c>
      <c r="F1091" s="21">
        <v>648</v>
      </c>
    </row>
    <row r="1092" spans="2:6" x14ac:dyDescent="0.25">
      <c r="B1092" s="18" t="s">
        <v>21</v>
      </c>
      <c r="C1092" s="19">
        <f>40731+(3*365)</f>
        <v>41826</v>
      </c>
      <c r="D1092" s="18" t="s">
        <v>58</v>
      </c>
      <c r="E1092" s="18" t="s">
        <v>66</v>
      </c>
      <c r="F1092" s="21">
        <v>456</v>
      </c>
    </row>
    <row r="1093" spans="2:6" x14ac:dyDescent="0.25">
      <c r="B1093" s="18" t="s">
        <v>11</v>
      </c>
      <c r="C1093" s="19">
        <f>40788+(3*365)</f>
        <v>41883</v>
      </c>
      <c r="D1093" s="18" t="s">
        <v>74</v>
      </c>
      <c r="E1093" s="18" t="s">
        <v>69</v>
      </c>
      <c r="F1093" s="21">
        <v>1194</v>
      </c>
    </row>
    <row r="1094" spans="2:6" x14ac:dyDescent="0.25">
      <c r="B1094" s="18" t="s">
        <v>21</v>
      </c>
      <c r="C1094" s="19">
        <f>40353+(3*365)</f>
        <v>41448</v>
      </c>
      <c r="D1094" s="18" t="s">
        <v>58</v>
      </c>
      <c r="E1094" s="18" t="s">
        <v>59</v>
      </c>
      <c r="F1094" s="21">
        <v>432</v>
      </c>
    </row>
    <row r="1095" spans="2:6" x14ac:dyDescent="0.25">
      <c r="B1095" s="18" t="s">
        <v>11</v>
      </c>
      <c r="C1095" s="19">
        <f>40927+(3*365)</f>
        <v>42022</v>
      </c>
      <c r="D1095" s="18" t="s">
        <v>74</v>
      </c>
      <c r="E1095" s="18" t="s">
        <v>59</v>
      </c>
      <c r="F1095" s="21">
        <v>480</v>
      </c>
    </row>
    <row r="1096" spans="2:6" x14ac:dyDescent="0.25">
      <c r="B1096" s="18" t="s">
        <v>10</v>
      </c>
      <c r="C1096" s="19">
        <f>40500+(3*365)</f>
        <v>41595</v>
      </c>
      <c r="D1096" s="18" t="s">
        <v>65</v>
      </c>
      <c r="E1096" s="18" t="s">
        <v>69</v>
      </c>
      <c r="F1096" s="21">
        <v>414</v>
      </c>
    </row>
    <row r="1097" spans="2:6" x14ac:dyDescent="0.25">
      <c r="B1097" s="18" t="s">
        <v>31</v>
      </c>
      <c r="C1097" s="19">
        <f>40814+(3*365)</f>
        <v>41909</v>
      </c>
      <c r="D1097" s="18" t="s">
        <v>70</v>
      </c>
      <c r="E1097" s="18" t="s">
        <v>61</v>
      </c>
      <c r="F1097" s="21">
        <v>1404</v>
      </c>
    </row>
    <row r="1098" spans="2:6" x14ac:dyDescent="0.25">
      <c r="B1098" s="18" t="s">
        <v>31</v>
      </c>
      <c r="C1098" s="19">
        <f>40751+(3*365)</f>
        <v>41846</v>
      </c>
      <c r="D1098" s="18" t="s">
        <v>70</v>
      </c>
      <c r="E1098" s="18" t="s">
        <v>66</v>
      </c>
      <c r="F1098" s="21">
        <v>810</v>
      </c>
    </row>
    <row r="1099" spans="2:6" x14ac:dyDescent="0.25">
      <c r="B1099" s="18" t="s">
        <v>10</v>
      </c>
      <c r="C1099" s="19">
        <f>41086+(3*365)</f>
        <v>42181</v>
      </c>
      <c r="D1099" s="18" t="s">
        <v>65</v>
      </c>
      <c r="E1099" s="18" t="s">
        <v>72</v>
      </c>
      <c r="F1099" s="21">
        <v>522</v>
      </c>
    </row>
    <row r="1100" spans="2:6" x14ac:dyDescent="0.25">
      <c r="B1100" s="18" t="s">
        <v>21</v>
      </c>
      <c r="C1100" s="19">
        <f>39890+(3*365)</f>
        <v>40985</v>
      </c>
      <c r="D1100" s="18" t="s">
        <v>58</v>
      </c>
      <c r="E1100" s="18" t="s">
        <v>61</v>
      </c>
      <c r="F1100" s="21">
        <v>200</v>
      </c>
    </row>
    <row r="1101" spans="2:6" x14ac:dyDescent="0.25">
      <c r="B1101" s="18" t="s">
        <v>25</v>
      </c>
      <c r="C1101" s="19">
        <f>40308+(3*365)</f>
        <v>41403</v>
      </c>
      <c r="D1101" s="18" t="s">
        <v>79</v>
      </c>
      <c r="E1101" s="18" t="s">
        <v>63</v>
      </c>
      <c r="F1101" s="21">
        <v>93</v>
      </c>
    </row>
    <row r="1102" spans="2:6" x14ac:dyDescent="0.25">
      <c r="B1102" s="18" t="s">
        <v>8</v>
      </c>
      <c r="C1102" s="19">
        <f>40881+(3*365)</f>
        <v>41976</v>
      </c>
      <c r="D1102" s="18" t="s">
        <v>77</v>
      </c>
      <c r="E1102" s="18" t="s">
        <v>63</v>
      </c>
      <c r="F1102" s="21">
        <v>1504</v>
      </c>
    </row>
    <row r="1103" spans="2:6" x14ac:dyDescent="0.25">
      <c r="B1103" s="18" t="s">
        <v>8</v>
      </c>
      <c r="C1103" s="19">
        <f>40666+(3*365)</f>
        <v>41761</v>
      </c>
      <c r="D1103" s="18" t="s">
        <v>77</v>
      </c>
      <c r="E1103" s="18" t="s">
        <v>61</v>
      </c>
      <c r="F1103" s="21">
        <v>264</v>
      </c>
    </row>
    <row r="1104" spans="2:6" x14ac:dyDescent="0.25">
      <c r="B1104" s="18" t="s">
        <v>18</v>
      </c>
      <c r="C1104" s="19">
        <f>40707+(3*365)</f>
        <v>41802</v>
      </c>
      <c r="D1104" s="18" t="s">
        <v>68</v>
      </c>
      <c r="E1104" s="18" t="s">
        <v>66</v>
      </c>
      <c r="F1104" s="21">
        <v>1968</v>
      </c>
    </row>
    <row r="1105" spans="2:6" x14ac:dyDescent="0.25">
      <c r="B1105" s="18" t="s">
        <v>21</v>
      </c>
      <c r="C1105" s="19">
        <f>40417+(3*365)</f>
        <v>41512</v>
      </c>
      <c r="D1105" s="18" t="s">
        <v>73</v>
      </c>
      <c r="E1105" s="18" t="s">
        <v>63</v>
      </c>
      <c r="F1105" s="21">
        <v>252</v>
      </c>
    </row>
    <row r="1106" spans="2:6" x14ac:dyDescent="0.25">
      <c r="B1106" s="18" t="s">
        <v>8</v>
      </c>
      <c r="C1106" s="19">
        <f>40924+(3*365)</f>
        <v>42019</v>
      </c>
      <c r="D1106" s="18" t="s">
        <v>81</v>
      </c>
      <c r="E1106" s="18" t="s">
        <v>63</v>
      </c>
      <c r="F1106" s="21">
        <v>288</v>
      </c>
    </row>
    <row r="1107" spans="2:6" x14ac:dyDescent="0.25">
      <c r="B1107" s="18" t="s">
        <v>11</v>
      </c>
      <c r="C1107" s="19">
        <f>40376+(3*365)</f>
        <v>41471</v>
      </c>
      <c r="D1107" s="18" t="s">
        <v>74</v>
      </c>
      <c r="E1107" s="18" t="s">
        <v>66</v>
      </c>
      <c r="F1107" s="21">
        <v>1188</v>
      </c>
    </row>
    <row r="1108" spans="2:6" x14ac:dyDescent="0.25">
      <c r="B1108" s="18" t="s">
        <v>18</v>
      </c>
      <c r="C1108" s="19">
        <f>40553+(3*365)</f>
        <v>41648</v>
      </c>
      <c r="D1108" s="18" t="s">
        <v>68</v>
      </c>
      <c r="E1108" s="18" t="s">
        <v>66</v>
      </c>
      <c r="F1108" s="21">
        <v>1848</v>
      </c>
    </row>
    <row r="1109" spans="2:6" x14ac:dyDescent="0.25">
      <c r="B1109" s="18" t="s">
        <v>11</v>
      </c>
      <c r="C1109" s="19">
        <f>41000+(3*365)</f>
        <v>42095</v>
      </c>
      <c r="D1109" s="18" t="s">
        <v>60</v>
      </c>
      <c r="E1109" s="18" t="s">
        <v>75</v>
      </c>
      <c r="F1109" s="21">
        <v>120</v>
      </c>
    </row>
    <row r="1110" spans="2:6" x14ac:dyDescent="0.25">
      <c r="B1110" s="18" t="s">
        <v>9</v>
      </c>
      <c r="C1110" s="19">
        <f>40400+(3*365)</f>
        <v>41495</v>
      </c>
      <c r="D1110" s="18" t="s">
        <v>62</v>
      </c>
      <c r="E1110" s="18" t="s">
        <v>72</v>
      </c>
      <c r="F1110" s="21">
        <v>3528</v>
      </c>
    </row>
    <row r="1111" spans="2:6" x14ac:dyDescent="0.25">
      <c r="B1111" s="18" t="s">
        <v>9</v>
      </c>
      <c r="C1111" s="19">
        <f>40341+(3*365)</f>
        <v>41436</v>
      </c>
      <c r="D1111" s="18" t="s">
        <v>80</v>
      </c>
      <c r="E1111" s="18" t="s">
        <v>69</v>
      </c>
      <c r="F1111" s="21">
        <v>752</v>
      </c>
    </row>
    <row r="1112" spans="2:6" x14ac:dyDescent="0.25">
      <c r="B1112" s="18" t="s">
        <v>8</v>
      </c>
      <c r="C1112" s="19">
        <f>40160+(3*365)</f>
        <v>41255</v>
      </c>
      <c r="D1112" s="18" t="s">
        <v>81</v>
      </c>
      <c r="E1112" s="18" t="s">
        <v>63</v>
      </c>
      <c r="F1112" s="21">
        <v>1536</v>
      </c>
    </row>
    <row r="1113" spans="2:6" x14ac:dyDescent="0.25">
      <c r="B1113" s="18" t="s">
        <v>21</v>
      </c>
      <c r="C1113" s="19">
        <f>40571+(3*365)</f>
        <v>41666</v>
      </c>
      <c r="D1113" s="18" t="s">
        <v>58</v>
      </c>
      <c r="E1113" s="18" t="s">
        <v>64</v>
      </c>
      <c r="F1113" s="21">
        <v>7284</v>
      </c>
    </row>
    <row r="1114" spans="2:6" x14ac:dyDescent="0.25">
      <c r="B1114" s="18" t="s">
        <v>11</v>
      </c>
      <c r="C1114" s="19">
        <f>39963+(3*365)</f>
        <v>41058</v>
      </c>
      <c r="D1114" s="18" t="s">
        <v>74</v>
      </c>
      <c r="E1114" s="18" t="s">
        <v>66</v>
      </c>
      <c r="F1114" s="21">
        <v>177</v>
      </c>
    </row>
    <row r="1115" spans="2:6" x14ac:dyDescent="0.25">
      <c r="B1115" s="18" t="s">
        <v>25</v>
      </c>
      <c r="C1115" s="19">
        <f>40328+(3*365)</f>
        <v>41423</v>
      </c>
      <c r="D1115" s="18" t="s">
        <v>79</v>
      </c>
      <c r="E1115" s="18" t="s">
        <v>75</v>
      </c>
      <c r="F1115" s="21">
        <v>231</v>
      </c>
    </row>
    <row r="1116" spans="2:6" x14ac:dyDescent="0.25">
      <c r="B1116" s="18" t="s">
        <v>9</v>
      </c>
      <c r="C1116" s="19">
        <f>40153+(3*365)</f>
        <v>41248</v>
      </c>
      <c r="D1116" s="18" t="s">
        <v>62</v>
      </c>
      <c r="E1116" s="18" t="s">
        <v>61</v>
      </c>
      <c r="F1116" s="21">
        <v>134</v>
      </c>
    </row>
    <row r="1117" spans="2:6" x14ac:dyDescent="0.25">
      <c r="B1117" s="18" t="s">
        <v>21</v>
      </c>
      <c r="C1117" s="19">
        <f>41143+(3*365)</f>
        <v>42238</v>
      </c>
      <c r="D1117" s="18" t="s">
        <v>58</v>
      </c>
      <c r="E1117" s="18" t="s">
        <v>72</v>
      </c>
      <c r="F1117" s="21">
        <v>3612</v>
      </c>
    </row>
    <row r="1118" spans="2:6" x14ac:dyDescent="0.25">
      <c r="B1118" s="18" t="s">
        <v>21</v>
      </c>
      <c r="C1118" s="19">
        <f>40058+(3*365)</f>
        <v>41153</v>
      </c>
      <c r="D1118" s="18" t="s">
        <v>73</v>
      </c>
      <c r="E1118" s="18" t="s">
        <v>64</v>
      </c>
      <c r="F1118" s="21">
        <v>2364</v>
      </c>
    </row>
    <row r="1119" spans="2:6" x14ac:dyDescent="0.25">
      <c r="B1119" s="18" t="s">
        <v>25</v>
      </c>
      <c r="C1119" s="19">
        <f>39897+(3*365)</f>
        <v>40992</v>
      </c>
      <c r="D1119" s="18" t="s">
        <v>79</v>
      </c>
      <c r="E1119" s="18" t="s">
        <v>75</v>
      </c>
      <c r="F1119" s="21">
        <v>42</v>
      </c>
    </row>
    <row r="1120" spans="2:6" x14ac:dyDescent="0.25">
      <c r="B1120" s="18" t="s">
        <v>18</v>
      </c>
      <c r="C1120" s="19">
        <f>40240+(3*365)</f>
        <v>41335</v>
      </c>
      <c r="D1120" s="18" t="s">
        <v>71</v>
      </c>
      <c r="E1120" s="18" t="s">
        <v>72</v>
      </c>
      <c r="F1120" s="21">
        <v>3330</v>
      </c>
    </row>
    <row r="1121" spans="2:6" x14ac:dyDescent="0.25">
      <c r="B1121" s="18" t="s">
        <v>10</v>
      </c>
      <c r="C1121" s="19">
        <f>40057+(3*365)</f>
        <v>41152</v>
      </c>
      <c r="D1121" s="18" t="s">
        <v>65</v>
      </c>
      <c r="E1121" s="18" t="s">
        <v>72</v>
      </c>
      <c r="F1121" s="21">
        <v>2844</v>
      </c>
    </row>
    <row r="1122" spans="2:6" x14ac:dyDescent="0.25">
      <c r="B1122" s="18" t="s">
        <v>31</v>
      </c>
      <c r="C1122" s="19">
        <f>40862+(3*365)</f>
        <v>41957</v>
      </c>
      <c r="D1122" s="18" t="s">
        <v>70</v>
      </c>
      <c r="E1122" s="18" t="s">
        <v>59</v>
      </c>
      <c r="F1122" s="21">
        <v>57</v>
      </c>
    </row>
    <row r="1123" spans="2:6" x14ac:dyDescent="0.25">
      <c r="B1123" s="18" t="s">
        <v>18</v>
      </c>
      <c r="C1123" s="19">
        <f>40111+(3*365)</f>
        <v>41206</v>
      </c>
      <c r="D1123" s="18" t="s">
        <v>71</v>
      </c>
      <c r="E1123" s="18" t="s">
        <v>59</v>
      </c>
      <c r="F1123" s="21">
        <v>528</v>
      </c>
    </row>
    <row r="1124" spans="2:6" x14ac:dyDescent="0.25">
      <c r="B1124" s="18" t="s">
        <v>18</v>
      </c>
      <c r="C1124" s="19">
        <f>40530+(3*365)</f>
        <v>41625</v>
      </c>
      <c r="D1124" s="18" t="s">
        <v>68</v>
      </c>
      <c r="E1124" s="18" t="s">
        <v>59</v>
      </c>
      <c r="F1124" s="21">
        <v>630</v>
      </c>
    </row>
    <row r="1125" spans="2:6" x14ac:dyDescent="0.25">
      <c r="B1125" s="18" t="s">
        <v>8</v>
      </c>
      <c r="C1125" s="19">
        <f>40678+(3*365)</f>
        <v>41773</v>
      </c>
      <c r="D1125" s="18" t="s">
        <v>81</v>
      </c>
      <c r="E1125" s="18" t="s">
        <v>64</v>
      </c>
      <c r="F1125" s="21">
        <v>8376</v>
      </c>
    </row>
    <row r="1126" spans="2:6" x14ac:dyDescent="0.25">
      <c r="B1126" s="18" t="s">
        <v>11</v>
      </c>
      <c r="C1126" s="19">
        <f>40286+(3*365)</f>
        <v>41381</v>
      </c>
      <c r="D1126" s="18" t="s">
        <v>60</v>
      </c>
      <c r="E1126" s="18" t="s">
        <v>72</v>
      </c>
      <c r="F1126" s="21">
        <v>774</v>
      </c>
    </row>
    <row r="1127" spans="2:6" x14ac:dyDescent="0.25">
      <c r="B1127" s="18" t="s">
        <v>18</v>
      </c>
      <c r="C1127" s="19">
        <f>40976+(3*365)</f>
        <v>42071</v>
      </c>
      <c r="D1127" s="18" t="s">
        <v>71</v>
      </c>
      <c r="E1127" s="18" t="s">
        <v>66</v>
      </c>
      <c r="F1127" s="21">
        <v>1800</v>
      </c>
    </row>
    <row r="1128" spans="2:6" x14ac:dyDescent="0.25">
      <c r="B1128" s="18" t="s">
        <v>31</v>
      </c>
      <c r="C1128" s="19">
        <f>40073+(3*365)</f>
        <v>41168</v>
      </c>
      <c r="D1128" s="18" t="s">
        <v>70</v>
      </c>
      <c r="E1128" s="18" t="s">
        <v>72</v>
      </c>
      <c r="F1128" s="21">
        <v>1404</v>
      </c>
    </row>
    <row r="1129" spans="2:6" x14ac:dyDescent="0.25">
      <c r="B1129" s="18" t="s">
        <v>18</v>
      </c>
      <c r="C1129" s="19">
        <f>40477+(3*365)</f>
        <v>41572</v>
      </c>
      <c r="D1129" s="18" t="s">
        <v>71</v>
      </c>
      <c r="E1129" s="18" t="s">
        <v>69</v>
      </c>
      <c r="F1129" s="21">
        <v>720</v>
      </c>
    </row>
    <row r="1130" spans="2:6" x14ac:dyDescent="0.25">
      <c r="B1130" s="18" t="s">
        <v>10</v>
      </c>
      <c r="C1130" s="19">
        <f>40041+(3*365)</f>
        <v>41136</v>
      </c>
      <c r="D1130" s="18" t="s">
        <v>67</v>
      </c>
      <c r="E1130" s="18" t="s">
        <v>64</v>
      </c>
      <c r="F1130" s="21">
        <v>1568</v>
      </c>
    </row>
    <row r="1131" spans="2:6" x14ac:dyDescent="0.25">
      <c r="B1131" s="18" t="s">
        <v>11</v>
      </c>
      <c r="C1131" s="19">
        <f>39817+(3*365)</f>
        <v>40912</v>
      </c>
      <c r="D1131" s="18" t="s">
        <v>74</v>
      </c>
      <c r="E1131" s="18" t="s">
        <v>64</v>
      </c>
      <c r="F1131" s="21">
        <v>8715</v>
      </c>
    </row>
    <row r="1132" spans="2:6" x14ac:dyDescent="0.25">
      <c r="B1132" s="18" t="s">
        <v>11</v>
      </c>
      <c r="C1132" s="19">
        <f>40321+(3*365)</f>
        <v>41416</v>
      </c>
      <c r="D1132" s="18" t="s">
        <v>74</v>
      </c>
      <c r="E1132" s="18" t="s">
        <v>66</v>
      </c>
      <c r="F1132" s="21">
        <v>819</v>
      </c>
    </row>
    <row r="1133" spans="2:6" x14ac:dyDescent="0.25">
      <c r="B1133" s="18" t="s">
        <v>9</v>
      </c>
      <c r="C1133" s="19">
        <f>40488+(3*365)</f>
        <v>41583</v>
      </c>
      <c r="D1133" s="18" t="s">
        <v>80</v>
      </c>
      <c r="E1133" s="18" t="s">
        <v>63</v>
      </c>
      <c r="F1133" s="21">
        <v>132</v>
      </c>
    </row>
    <row r="1134" spans="2:6" x14ac:dyDescent="0.25">
      <c r="B1134" s="18" t="s">
        <v>8</v>
      </c>
      <c r="C1134" s="19">
        <f>40223+(3*365)</f>
        <v>41318</v>
      </c>
      <c r="D1134" s="18" t="s">
        <v>77</v>
      </c>
      <c r="E1134" s="18" t="s">
        <v>69</v>
      </c>
      <c r="F1134" s="21">
        <v>2368</v>
      </c>
    </row>
    <row r="1135" spans="2:6" x14ac:dyDescent="0.25">
      <c r="B1135" s="18" t="s">
        <v>25</v>
      </c>
      <c r="C1135" s="19">
        <f>41203+(3*365)</f>
        <v>42298</v>
      </c>
      <c r="D1135" s="18" t="s">
        <v>78</v>
      </c>
      <c r="E1135" s="18" t="s">
        <v>75</v>
      </c>
      <c r="F1135" s="21">
        <v>216</v>
      </c>
    </row>
    <row r="1136" spans="2:6" x14ac:dyDescent="0.25">
      <c r="B1136" s="18" t="s">
        <v>25</v>
      </c>
      <c r="C1136" s="19">
        <f>40047+(3*365)</f>
        <v>41142</v>
      </c>
      <c r="D1136" s="18" t="s">
        <v>78</v>
      </c>
      <c r="E1136" s="18" t="s">
        <v>69</v>
      </c>
      <c r="F1136" s="21">
        <v>720</v>
      </c>
    </row>
    <row r="1137" spans="2:6" x14ac:dyDescent="0.25">
      <c r="B1137" s="18" t="s">
        <v>18</v>
      </c>
      <c r="C1137" s="19">
        <f>40094+(3*365)</f>
        <v>41189</v>
      </c>
      <c r="D1137" s="18" t="s">
        <v>68</v>
      </c>
      <c r="E1137" s="18" t="s">
        <v>64</v>
      </c>
      <c r="F1137" s="21">
        <v>6630</v>
      </c>
    </row>
    <row r="1138" spans="2:6" x14ac:dyDescent="0.25">
      <c r="B1138" s="18" t="s">
        <v>9</v>
      </c>
      <c r="C1138" s="19">
        <f>40864+(3*365)</f>
        <v>41959</v>
      </c>
      <c r="D1138" s="18" t="s">
        <v>80</v>
      </c>
      <c r="E1138" s="18" t="s">
        <v>59</v>
      </c>
      <c r="F1138" s="21">
        <v>162</v>
      </c>
    </row>
    <row r="1139" spans="2:6" x14ac:dyDescent="0.25">
      <c r="B1139" s="18" t="s">
        <v>8</v>
      </c>
      <c r="C1139" s="19">
        <f>40378+(3*365)</f>
        <v>41473</v>
      </c>
      <c r="D1139" s="18" t="s">
        <v>77</v>
      </c>
      <c r="E1139" s="18" t="s">
        <v>64</v>
      </c>
      <c r="F1139" s="21">
        <v>8328</v>
      </c>
    </row>
    <row r="1140" spans="2:6" x14ac:dyDescent="0.25">
      <c r="B1140" s="18" t="s">
        <v>11</v>
      </c>
      <c r="C1140" s="19">
        <f>40105+(3*365)</f>
        <v>41200</v>
      </c>
      <c r="D1140" s="18" t="s">
        <v>60</v>
      </c>
      <c r="E1140" s="18" t="s">
        <v>64</v>
      </c>
      <c r="F1140" s="21">
        <v>7236</v>
      </c>
    </row>
    <row r="1141" spans="2:6" x14ac:dyDescent="0.25">
      <c r="B1141" s="18" t="s">
        <v>11</v>
      </c>
      <c r="C1141" s="19">
        <f>39921+(3*365)</f>
        <v>41016</v>
      </c>
      <c r="D1141" s="18" t="s">
        <v>60</v>
      </c>
      <c r="E1141" s="18" t="s">
        <v>63</v>
      </c>
      <c r="F1141" s="21">
        <v>1782</v>
      </c>
    </row>
    <row r="1142" spans="2:6" x14ac:dyDescent="0.25">
      <c r="B1142" s="18" t="s">
        <v>8</v>
      </c>
      <c r="C1142" s="19">
        <f>40604+(3*365)</f>
        <v>41699</v>
      </c>
      <c r="D1142" s="18" t="s">
        <v>77</v>
      </c>
      <c r="E1142" s="18" t="s">
        <v>61</v>
      </c>
      <c r="F1142" s="21">
        <v>384</v>
      </c>
    </row>
    <row r="1143" spans="2:6" x14ac:dyDescent="0.25">
      <c r="B1143" s="18" t="s">
        <v>9</v>
      </c>
      <c r="C1143" s="19">
        <f>40106+(3*365)</f>
        <v>41201</v>
      </c>
      <c r="D1143" s="18" t="s">
        <v>80</v>
      </c>
      <c r="E1143" s="18" t="s">
        <v>72</v>
      </c>
      <c r="F1143" s="21">
        <v>780</v>
      </c>
    </row>
    <row r="1144" spans="2:6" x14ac:dyDescent="0.25">
      <c r="B1144" s="18" t="s">
        <v>10</v>
      </c>
      <c r="C1144" s="19">
        <f>41106+(3*365)</f>
        <v>42201</v>
      </c>
      <c r="D1144" s="18" t="s">
        <v>67</v>
      </c>
      <c r="E1144" s="18" t="s">
        <v>64</v>
      </c>
      <c r="F1144" s="21">
        <v>9576</v>
      </c>
    </row>
    <row r="1145" spans="2:6" x14ac:dyDescent="0.25">
      <c r="B1145" s="18" t="s">
        <v>10</v>
      </c>
      <c r="C1145" s="19">
        <f>41038+(3*365)</f>
        <v>42133</v>
      </c>
      <c r="D1145" s="18" t="s">
        <v>65</v>
      </c>
      <c r="E1145" s="18" t="s">
        <v>72</v>
      </c>
      <c r="F1145" s="21">
        <v>5166</v>
      </c>
    </row>
    <row r="1146" spans="2:6" x14ac:dyDescent="0.25">
      <c r="B1146" s="18" t="s">
        <v>21</v>
      </c>
      <c r="C1146" s="19">
        <f>41184+(3*365)</f>
        <v>42279</v>
      </c>
      <c r="D1146" s="18" t="s">
        <v>73</v>
      </c>
      <c r="E1146" s="18" t="s">
        <v>72</v>
      </c>
      <c r="F1146" s="21">
        <v>2880</v>
      </c>
    </row>
    <row r="1147" spans="2:6" x14ac:dyDescent="0.25">
      <c r="B1147" s="18" t="s">
        <v>25</v>
      </c>
      <c r="C1147" s="19">
        <f>40029+(3*365)</f>
        <v>41124</v>
      </c>
      <c r="D1147" s="18" t="s">
        <v>79</v>
      </c>
      <c r="E1147" s="18" t="s">
        <v>61</v>
      </c>
      <c r="F1147" s="21">
        <v>670</v>
      </c>
    </row>
    <row r="1148" spans="2:6" x14ac:dyDescent="0.25">
      <c r="B1148" s="18" t="s">
        <v>25</v>
      </c>
      <c r="C1148" s="19">
        <f>39980+(3*365)</f>
        <v>41075</v>
      </c>
      <c r="D1148" s="18" t="s">
        <v>79</v>
      </c>
      <c r="E1148" s="18" t="s">
        <v>64</v>
      </c>
      <c r="F1148" s="21">
        <v>11880</v>
      </c>
    </row>
    <row r="1149" spans="2:6" x14ac:dyDescent="0.25">
      <c r="B1149" s="18" t="s">
        <v>25</v>
      </c>
      <c r="C1149" s="19">
        <f>40436+(3*365)</f>
        <v>41531</v>
      </c>
      <c r="D1149" s="18" t="s">
        <v>79</v>
      </c>
      <c r="E1149" s="18" t="s">
        <v>69</v>
      </c>
      <c r="F1149" s="21">
        <v>1200</v>
      </c>
    </row>
    <row r="1150" spans="2:6" x14ac:dyDescent="0.25">
      <c r="B1150" s="18" t="s">
        <v>31</v>
      </c>
      <c r="C1150" s="19">
        <f>40316+(3*365)</f>
        <v>41411</v>
      </c>
      <c r="D1150" s="18" t="s">
        <v>70</v>
      </c>
      <c r="E1150" s="18" t="s">
        <v>59</v>
      </c>
      <c r="F1150" s="21">
        <v>192</v>
      </c>
    </row>
    <row r="1151" spans="2:6" x14ac:dyDescent="0.25">
      <c r="B1151" s="18" t="s">
        <v>31</v>
      </c>
      <c r="C1151" s="19">
        <f>40604+(3*365)</f>
        <v>41699</v>
      </c>
      <c r="D1151" s="18" t="s">
        <v>70</v>
      </c>
      <c r="E1151" s="18" t="s">
        <v>66</v>
      </c>
      <c r="F1151" s="21">
        <v>1170</v>
      </c>
    </row>
    <row r="1152" spans="2:6" x14ac:dyDescent="0.25">
      <c r="B1152" s="18" t="s">
        <v>10</v>
      </c>
      <c r="C1152" s="19">
        <f>40077+(3*365)</f>
        <v>41172</v>
      </c>
      <c r="D1152" s="18" t="s">
        <v>67</v>
      </c>
      <c r="E1152" s="18" t="s">
        <v>69</v>
      </c>
      <c r="F1152" s="21">
        <v>976</v>
      </c>
    </row>
    <row r="1153" spans="2:6" x14ac:dyDescent="0.25">
      <c r="B1153" s="18" t="s">
        <v>9</v>
      </c>
      <c r="C1153" s="19">
        <f>41169+(3*365)</f>
        <v>42264</v>
      </c>
      <c r="D1153" s="18" t="s">
        <v>62</v>
      </c>
      <c r="E1153" s="18" t="s">
        <v>69</v>
      </c>
      <c r="F1153" s="21">
        <v>1476</v>
      </c>
    </row>
    <row r="1154" spans="2:6" x14ac:dyDescent="0.25">
      <c r="B1154" s="18" t="s">
        <v>21</v>
      </c>
      <c r="C1154" s="19">
        <f>40977+(3*365)</f>
        <v>42072</v>
      </c>
      <c r="D1154" s="18" t="s">
        <v>73</v>
      </c>
      <c r="E1154" s="18" t="s">
        <v>75</v>
      </c>
      <c r="F1154" s="21">
        <v>132</v>
      </c>
    </row>
    <row r="1155" spans="2:6" x14ac:dyDescent="0.25">
      <c r="B1155" s="18" t="s">
        <v>21</v>
      </c>
      <c r="C1155" s="19">
        <f>40883+(3*365)</f>
        <v>41978</v>
      </c>
      <c r="D1155" s="18" t="s">
        <v>73</v>
      </c>
      <c r="E1155" s="18" t="s">
        <v>72</v>
      </c>
      <c r="F1155" s="21">
        <v>1404</v>
      </c>
    </row>
    <row r="1156" spans="2:6" x14ac:dyDescent="0.25">
      <c r="B1156" s="18" t="s">
        <v>18</v>
      </c>
      <c r="C1156" s="19">
        <f>40773+(3*365)</f>
        <v>41868</v>
      </c>
      <c r="D1156" s="18" t="s">
        <v>68</v>
      </c>
      <c r="E1156" s="18" t="s">
        <v>69</v>
      </c>
      <c r="F1156" s="21">
        <v>3232</v>
      </c>
    </row>
    <row r="1157" spans="2:6" x14ac:dyDescent="0.25">
      <c r="B1157" s="18" t="s">
        <v>9</v>
      </c>
      <c r="C1157" s="19">
        <f>40471+(3*365)</f>
        <v>41566</v>
      </c>
      <c r="D1157" s="18" t="s">
        <v>62</v>
      </c>
      <c r="E1157" s="18" t="s">
        <v>69</v>
      </c>
      <c r="F1157" s="21">
        <v>270</v>
      </c>
    </row>
    <row r="1158" spans="2:6" x14ac:dyDescent="0.25">
      <c r="B1158" s="18" t="s">
        <v>8</v>
      </c>
      <c r="C1158" s="19">
        <f>40562+(3*365)</f>
        <v>41657</v>
      </c>
      <c r="D1158" s="18" t="s">
        <v>81</v>
      </c>
      <c r="E1158" s="18" t="s">
        <v>66</v>
      </c>
      <c r="F1158" s="21">
        <v>1020</v>
      </c>
    </row>
    <row r="1159" spans="2:6" x14ac:dyDescent="0.25">
      <c r="B1159" s="18" t="s">
        <v>8</v>
      </c>
      <c r="C1159" s="19">
        <f>40111+(3*365)</f>
        <v>41206</v>
      </c>
      <c r="D1159" s="18" t="s">
        <v>77</v>
      </c>
      <c r="E1159" s="18" t="s">
        <v>64</v>
      </c>
      <c r="F1159" s="21">
        <v>5790</v>
      </c>
    </row>
    <row r="1160" spans="2:6" x14ac:dyDescent="0.25">
      <c r="B1160" s="18" t="s">
        <v>11</v>
      </c>
      <c r="C1160" s="19">
        <f>41076+(3*365)</f>
        <v>42171</v>
      </c>
      <c r="D1160" s="18" t="s">
        <v>60</v>
      </c>
      <c r="E1160" s="18" t="s">
        <v>59</v>
      </c>
      <c r="F1160" s="21">
        <v>936</v>
      </c>
    </row>
    <row r="1161" spans="2:6" x14ac:dyDescent="0.25">
      <c r="B1161" s="18" t="s">
        <v>8</v>
      </c>
      <c r="C1161" s="19">
        <f>41270+(3*365)</f>
        <v>42365</v>
      </c>
      <c r="D1161" s="18" t="s">
        <v>81</v>
      </c>
      <c r="E1161" s="18" t="s">
        <v>69</v>
      </c>
      <c r="F1161" s="21">
        <v>736</v>
      </c>
    </row>
    <row r="1162" spans="2:6" x14ac:dyDescent="0.25">
      <c r="B1162" s="18" t="s">
        <v>11</v>
      </c>
      <c r="C1162" s="19">
        <f>40271+(3*365)</f>
        <v>41366</v>
      </c>
      <c r="D1162" s="18" t="s">
        <v>74</v>
      </c>
      <c r="E1162" s="18" t="s">
        <v>69</v>
      </c>
      <c r="F1162" s="21">
        <v>348</v>
      </c>
    </row>
    <row r="1163" spans="2:6" x14ac:dyDescent="0.25">
      <c r="B1163" s="18" t="s">
        <v>9</v>
      </c>
      <c r="C1163" s="19">
        <f>40101+(3*365)</f>
        <v>41196</v>
      </c>
      <c r="D1163" s="18" t="s">
        <v>62</v>
      </c>
      <c r="E1163" s="18" t="s">
        <v>63</v>
      </c>
      <c r="F1163" s="21">
        <v>336</v>
      </c>
    </row>
    <row r="1164" spans="2:6" x14ac:dyDescent="0.25">
      <c r="B1164" s="18" t="s">
        <v>11</v>
      </c>
      <c r="C1164" s="19">
        <f>40013+(3*365)</f>
        <v>41108</v>
      </c>
      <c r="D1164" s="18" t="s">
        <v>74</v>
      </c>
      <c r="E1164" s="18" t="s">
        <v>75</v>
      </c>
      <c r="F1164" s="21">
        <v>405</v>
      </c>
    </row>
    <row r="1165" spans="2:6" x14ac:dyDescent="0.25">
      <c r="B1165" s="18" t="s">
        <v>10</v>
      </c>
      <c r="C1165" s="19">
        <f>40542+(3*365)</f>
        <v>41637</v>
      </c>
      <c r="D1165" s="18" t="s">
        <v>67</v>
      </c>
      <c r="E1165" s="18" t="s">
        <v>61</v>
      </c>
      <c r="F1165" s="21">
        <v>378</v>
      </c>
    </row>
    <row r="1166" spans="2:6" x14ac:dyDescent="0.25">
      <c r="B1166" s="18" t="s">
        <v>10</v>
      </c>
      <c r="C1166" s="19">
        <f>40868+(3*365)</f>
        <v>41963</v>
      </c>
      <c r="D1166" s="18" t="s">
        <v>65</v>
      </c>
      <c r="E1166" s="18" t="s">
        <v>59</v>
      </c>
      <c r="F1166" s="21">
        <v>450</v>
      </c>
    </row>
    <row r="1167" spans="2:6" x14ac:dyDescent="0.25">
      <c r="B1167" s="18" t="s">
        <v>25</v>
      </c>
      <c r="C1167" s="19">
        <f>40039+(3*365)</f>
        <v>41134</v>
      </c>
      <c r="D1167" s="18" t="s">
        <v>78</v>
      </c>
      <c r="E1167" s="18" t="s">
        <v>63</v>
      </c>
      <c r="F1167" s="21">
        <v>116</v>
      </c>
    </row>
    <row r="1168" spans="2:6" x14ac:dyDescent="0.25">
      <c r="B1168" s="18" t="s">
        <v>31</v>
      </c>
      <c r="C1168" s="19">
        <f>40234+(3*365)</f>
        <v>41329</v>
      </c>
      <c r="D1168" s="18" t="s">
        <v>76</v>
      </c>
      <c r="E1168" s="18" t="s">
        <v>75</v>
      </c>
      <c r="F1168" s="21">
        <v>45</v>
      </c>
    </row>
    <row r="1169" spans="2:6" x14ac:dyDescent="0.25">
      <c r="B1169" s="18" t="s">
        <v>9</v>
      </c>
      <c r="C1169" s="19">
        <f>41072+(3*365)</f>
        <v>42167</v>
      </c>
      <c r="D1169" s="18" t="s">
        <v>62</v>
      </c>
      <c r="E1169" s="18" t="s">
        <v>61</v>
      </c>
      <c r="F1169" s="21">
        <v>195</v>
      </c>
    </row>
    <row r="1170" spans="2:6" x14ac:dyDescent="0.25">
      <c r="B1170" s="18" t="s">
        <v>11</v>
      </c>
      <c r="C1170" s="19">
        <f>40095+(3*365)</f>
        <v>41190</v>
      </c>
      <c r="D1170" s="18" t="s">
        <v>74</v>
      </c>
      <c r="E1170" s="18" t="s">
        <v>66</v>
      </c>
      <c r="F1170" s="21">
        <v>714</v>
      </c>
    </row>
    <row r="1171" spans="2:6" x14ac:dyDescent="0.25">
      <c r="B1171" s="18" t="s">
        <v>21</v>
      </c>
      <c r="C1171" s="19">
        <f>40322+(3*365)</f>
        <v>41417</v>
      </c>
      <c r="D1171" s="18" t="s">
        <v>73</v>
      </c>
      <c r="E1171" s="18" t="s">
        <v>69</v>
      </c>
      <c r="F1171" s="21">
        <v>2240</v>
      </c>
    </row>
    <row r="1172" spans="2:6" x14ac:dyDescent="0.25">
      <c r="B1172" s="18" t="s">
        <v>18</v>
      </c>
      <c r="C1172" s="19">
        <f>40737+(3*365)</f>
        <v>41832</v>
      </c>
      <c r="D1172" s="18" t="s">
        <v>68</v>
      </c>
      <c r="E1172" s="18" t="s">
        <v>64</v>
      </c>
      <c r="F1172" s="21">
        <v>6800</v>
      </c>
    </row>
    <row r="1173" spans="2:6" x14ac:dyDescent="0.25">
      <c r="B1173" s="18" t="s">
        <v>11</v>
      </c>
      <c r="C1173" s="19">
        <f>41207+(3*365)</f>
        <v>42302</v>
      </c>
      <c r="D1173" s="18" t="s">
        <v>74</v>
      </c>
      <c r="E1173" s="18" t="s">
        <v>69</v>
      </c>
      <c r="F1173" s="21">
        <v>3640</v>
      </c>
    </row>
    <row r="1174" spans="2:6" x14ac:dyDescent="0.25">
      <c r="B1174" s="18" t="s">
        <v>25</v>
      </c>
      <c r="C1174" s="19">
        <f>40583+(3*365)</f>
        <v>41678</v>
      </c>
      <c r="D1174" s="18" t="s">
        <v>79</v>
      </c>
      <c r="E1174" s="18" t="s">
        <v>66</v>
      </c>
      <c r="F1174" s="21">
        <v>1176</v>
      </c>
    </row>
    <row r="1175" spans="2:6" x14ac:dyDescent="0.25">
      <c r="B1175" s="18" t="s">
        <v>11</v>
      </c>
      <c r="C1175" s="19">
        <f>40278+(3*365)</f>
        <v>41373</v>
      </c>
      <c r="D1175" s="18" t="s">
        <v>60</v>
      </c>
      <c r="E1175" s="18" t="s">
        <v>64</v>
      </c>
      <c r="F1175" s="21">
        <v>7980</v>
      </c>
    </row>
    <row r="1176" spans="2:6" x14ac:dyDescent="0.25">
      <c r="B1176" s="18" t="s">
        <v>25</v>
      </c>
      <c r="C1176" s="19">
        <f>41241+(3*365)</f>
        <v>42336</v>
      </c>
      <c r="D1176" s="18" t="s">
        <v>79</v>
      </c>
      <c r="E1176" s="18" t="s">
        <v>61</v>
      </c>
      <c r="F1176" s="21">
        <v>236</v>
      </c>
    </row>
    <row r="1177" spans="2:6" x14ac:dyDescent="0.25">
      <c r="B1177" s="18" t="s">
        <v>31</v>
      </c>
      <c r="C1177" s="19">
        <f>40012+(3*365)</f>
        <v>41107</v>
      </c>
      <c r="D1177" s="18" t="s">
        <v>76</v>
      </c>
      <c r="E1177" s="18" t="s">
        <v>64</v>
      </c>
      <c r="F1177" s="21">
        <v>4296</v>
      </c>
    </row>
    <row r="1178" spans="2:6" x14ac:dyDescent="0.25">
      <c r="B1178" s="18" t="s">
        <v>21</v>
      </c>
      <c r="C1178" s="19">
        <f>40967+(3*365)</f>
        <v>42062</v>
      </c>
      <c r="D1178" s="18" t="s">
        <v>58</v>
      </c>
      <c r="E1178" s="18" t="s">
        <v>64</v>
      </c>
      <c r="F1178" s="21">
        <v>14432</v>
      </c>
    </row>
    <row r="1179" spans="2:6" x14ac:dyDescent="0.25">
      <c r="B1179" s="18" t="s">
        <v>9</v>
      </c>
      <c r="C1179" s="19">
        <f>40906+(3*365)</f>
        <v>42001</v>
      </c>
      <c r="D1179" s="18" t="s">
        <v>62</v>
      </c>
      <c r="E1179" s="18" t="s">
        <v>69</v>
      </c>
      <c r="F1179" s="21">
        <v>306</v>
      </c>
    </row>
    <row r="1180" spans="2:6" x14ac:dyDescent="0.25">
      <c r="B1180" s="18" t="s">
        <v>25</v>
      </c>
      <c r="C1180" s="19">
        <f>40026+(3*365)</f>
        <v>41121</v>
      </c>
      <c r="D1180" s="18" t="s">
        <v>78</v>
      </c>
      <c r="E1180" s="18" t="s">
        <v>63</v>
      </c>
      <c r="F1180" s="21">
        <v>736</v>
      </c>
    </row>
    <row r="1181" spans="2:6" x14ac:dyDescent="0.25">
      <c r="B1181" s="18" t="s">
        <v>11</v>
      </c>
      <c r="C1181" s="19">
        <f>40722+(3*365)</f>
        <v>41817</v>
      </c>
      <c r="D1181" s="18" t="s">
        <v>60</v>
      </c>
      <c r="E1181" s="18" t="s">
        <v>69</v>
      </c>
      <c r="F1181" s="21">
        <v>3132</v>
      </c>
    </row>
    <row r="1182" spans="2:6" x14ac:dyDescent="0.25">
      <c r="B1182" s="18" t="s">
        <v>9</v>
      </c>
      <c r="C1182" s="19">
        <f>40761+(3*365)</f>
        <v>41856</v>
      </c>
      <c r="D1182" s="18" t="s">
        <v>80</v>
      </c>
      <c r="E1182" s="18" t="s">
        <v>72</v>
      </c>
      <c r="F1182" s="21">
        <v>483</v>
      </c>
    </row>
    <row r="1183" spans="2:6" x14ac:dyDescent="0.25">
      <c r="B1183" s="18" t="s">
        <v>21</v>
      </c>
      <c r="C1183" s="19">
        <f>40556+(3*365)</f>
        <v>41651</v>
      </c>
      <c r="D1183" s="18" t="s">
        <v>58</v>
      </c>
      <c r="E1183" s="18" t="s">
        <v>63</v>
      </c>
      <c r="F1183" s="21">
        <v>282</v>
      </c>
    </row>
    <row r="1184" spans="2:6" x14ac:dyDescent="0.25">
      <c r="B1184" s="18" t="s">
        <v>21</v>
      </c>
      <c r="C1184" s="19">
        <f>40312+(3*365)</f>
        <v>41407</v>
      </c>
      <c r="D1184" s="18" t="s">
        <v>58</v>
      </c>
      <c r="E1184" s="18" t="s">
        <v>66</v>
      </c>
      <c r="F1184" s="21">
        <v>154</v>
      </c>
    </row>
    <row r="1185" spans="2:6" x14ac:dyDescent="0.25">
      <c r="B1185" s="18" t="s">
        <v>8</v>
      </c>
      <c r="C1185" s="19">
        <f>41213+(3*365)</f>
        <v>42308</v>
      </c>
      <c r="D1185" s="18" t="s">
        <v>81</v>
      </c>
      <c r="E1185" s="18" t="s">
        <v>66</v>
      </c>
      <c r="F1185" s="21">
        <v>1944</v>
      </c>
    </row>
    <row r="1186" spans="2:6" x14ac:dyDescent="0.25">
      <c r="B1186" s="18" t="s">
        <v>31</v>
      </c>
      <c r="C1186" s="19">
        <f>41137+(3*365)</f>
        <v>42232</v>
      </c>
      <c r="D1186" s="18" t="s">
        <v>70</v>
      </c>
      <c r="E1186" s="18" t="s">
        <v>69</v>
      </c>
      <c r="F1186" s="21">
        <v>1632</v>
      </c>
    </row>
    <row r="1187" spans="2:6" x14ac:dyDescent="0.25">
      <c r="B1187" s="18" t="s">
        <v>10</v>
      </c>
      <c r="C1187" s="19">
        <f>39863+(3*365)</f>
        <v>40958</v>
      </c>
      <c r="D1187" s="18" t="s">
        <v>67</v>
      </c>
      <c r="E1187" s="18" t="s">
        <v>72</v>
      </c>
      <c r="F1187" s="21">
        <v>800</v>
      </c>
    </row>
    <row r="1188" spans="2:6" x14ac:dyDescent="0.25">
      <c r="B1188" s="18" t="s">
        <v>11</v>
      </c>
      <c r="C1188" s="19">
        <f>40951+(3*365)</f>
        <v>42046</v>
      </c>
      <c r="D1188" s="18" t="s">
        <v>74</v>
      </c>
      <c r="E1188" s="18" t="s">
        <v>61</v>
      </c>
      <c r="F1188" s="21">
        <v>1764</v>
      </c>
    </row>
    <row r="1189" spans="2:6" x14ac:dyDescent="0.25">
      <c r="B1189" s="18" t="s">
        <v>11</v>
      </c>
      <c r="C1189" s="19">
        <f>41229+(3*365)</f>
        <v>42324</v>
      </c>
      <c r="D1189" s="18" t="s">
        <v>74</v>
      </c>
      <c r="E1189" s="18" t="s">
        <v>63</v>
      </c>
      <c r="F1189" s="21">
        <v>268</v>
      </c>
    </row>
    <row r="1190" spans="2:6" x14ac:dyDescent="0.25">
      <c r="B1190" s="18" t="s">
        <v>11</v>
      </c>
      <c r="C1190" s="19">
        <f>40045+(3*365)</f>
        <v>41140</v>
      </c>
      <c r="D1190" s="18" t="s">
        <v>74</v>
      </c>
      <c r="E1190" s="18" t="s">
        <v>63</v>
      </c>
      <c r="F1190" s="21">
        <v>672</v>
      </c>
    </row>
    <row r="1191" spans="2:6" x14ac:dyDescent="0.25">
      <c r="B1191" s="18" t="s">
        <v>25</v>
      </c>
      <c r="C1191" s="19">
        <f>41093+(3*365)</f>
        <v>42188</v>
      </c>
      <c r="D1191" s="18" t="s">
        <v>79</v>
      </c>
      <c r="E1191" s="18" t="s">
        <v>63</v>
      </c>
      <c r="F1191" s="21">
        <v>448</v>
      </c>
    </row>
    <row r="1192" spans="2:6" x14ac:dyDescent="0.25">
      <c r="B1192" s="18" t="s">
        <v>25</v>
      </c>
      <c r="C1192" s="19">
        <f>40848+(3*365)</f>
        <v>41943</v>
      </c>
      <c r="D1192" s="18" t="s">
        <v>78</v>
      </c>
      <c r="E1192" s="18" t="s">
        <v>63</v>
      </c>
      <c r="F1192" s="21">
        <v>1764</v>
      </c>
    </row>
    <row r="1193" spans="2:6" x14ac:dyDescent="0.25">
      <c r="B1193" s="18" t="s">
        <v>9</v>
      </c>
      <c r="C1193" s="19">
        <f>41240+(3*365)</f>
        <v>42335</v>
      </c>
      <c r="D1193" s="18" t="s">
        <v>62</v>
      </c>
      <c r="E1193" s="18" t="s">
        <v>72</v>
      </c>
      <c r="F1193" s="21">
        <v>183</v>
      </c>
    </row>
    <row r="1194" spans="2:6" x14ac:dyDescent="0.25">
      <c r="B1194" s="18" t="s">
        <v>25</v>
      </c>
      <c r="C1194" s="19">
        <f>40120+(3*365)</f>
        <v>41215</v>
      </c>
      <c r="D1194" s="18" t="s">
        <v>79</v>
      </c>
      <c r="E1194" s="18" t="s">
        <v>61</v>
      </c>
      <c r="F1194" s="21">
        <v>976</v>
      </c>
    </row>
    <row r="1195" spans="2:6" x14ac:dyDescent="0.25">
      <c r="B1195" s="18" t="s">
        <v>18</v>
      </c>
      <c r="C1195" s="19">
        <f>40741+(3*365)</f>
        <v>41836</v>
      </c>
      <c r="D1195" s="18" t="s">
        <v>68</v>
      </c>
      <c r="E1195" s="18" t="s">
        <v>66</v>
      </c>
      <c r="F1195" s="21">
        <v>2380</v>
      </c>
    </row>
    <row r="1196" spans="2:6" x14ac:dyDescent="0.25">
      <c r="B1196" s="18" t="s">
        <v>18</v>
      </c>
      <c r="C1196" s="19">
        <f>40186+(3*365)</f>
        <v>41281</v>
      </c>
      <c r="D1196" s="18" t="s">
        <v>68</v>
      </c>
      <c r="E1196" s="18" t="s">
        <v>66</v>
      </c>
      <c r="F1196" s="21">
        <v>768</v>
      </c>
    </row>
    <row r="1197" spans="2:6" x14ac:dyDescent="0.25">
      <c r="B1197" s="18" t="s">
        <v>9</v>
      </c>
      <c r="C1197" s="19">
        <f>41246+(3*365)</f>
        <v>42341</v>
      </c>
      <c r="D1197" s="18" t="s">
        <v>62</v>
      </c>
      <c r="E1197" s="18" t="s">
        <v>75</v>
      </c>
      <c r="F1197" s="21">
        <v>102</v>
      </c>
    </row>
    <row r="1198" spans="2:6" x14ac:dyDescent="0.25">
      <c r="B1198" s="18" t="s">
        <v>31</v>
      </c>
      <c r="C1198" s="19">
        <f>41108+(3*365)</f>
        <v>42203</v>
      </c>
      <c r="D1198" s="18" t="s">
        <v>70</v>
      </c>
      <c r="E1198" s="18" t="s">
        <v>75</v>
      </c>
      <c r="F1198" s="21">
        <v>816</v>
      </c>
    </row>
    <row r="1199" spans="2:6" x14ac:dyDescent="0.25">
      <c r="B1199" s="18" t="s">
        <v>21</v>
      </c>
      <c r="C1199" s="19">
        <f>40139+(3*365)</f>
        <v>41234</v>
      </c>
      <c r="D1199" s="18" t="s">
        <v>58</v>
      </c>
      <c r="E1199" s="18" t="s">
        <v>72</v>
      </c>
      <c r="F1199" s="21">
        <v>2248</v>
      </c>
    </row>
    <row r="1200" spans="2:6" x14ac:dyDescent="0.25">
      <c r="B1200" s="18" t="s">
        <v>10</v>
      </c>
      <c r="C1200" s="19">
        <f>40021+(3*365)</f>
        <v>41116</v>
      </c>
      <c r="D1200" s="18" t="s">
        <v>65</v>
      </c>
      <c r="E1200" s="18" t="s">
        <v>72</v>
      </c>
      <c r="F1200" s="21">
        <v>2912</v>
      </c>
    </row>
    <row r="1201" spans="2:6" x14ac:dyDescent="0.25">
      <c r="B1201" s="18" t="s">
        <v>9</v>
      </c>
      <c r="C1201" s="19">
        <f>40360+(3*365)</f>
        <v>41455</v>
      </c>
      <c r="D1201" s="18" t="s">
        <v>80</v>
      </c>
      <c r="E1201" s="18" t="s">
        <v>69</v>
      </c>
      <c r="F1201" s="21">
        <v>972</v>
      </c>
    </row>
    <row r="1202" spans="2:6" x14ac:dyDescent="0.25">
      <c r="B1202" s="18" t="s">
        <v>18</v>
      </c>
      <c r="C1202" s="19">
        <f>39918+(3*365)</f>
        <v>41013</v>
      </c>
      <c r="D1202" s="18" t="s">
        <v>68</v>
      </c>
      <c r="E1202" s="18" t="s">
        <v>61</v>
      </c>
      <c r="F1202" s="21">
        <v>148</v>
      </c>
    </row>
    <row r="1203" spans="2:6" x14ac:dyDescent="0.25">
      <c r="B1203" s="18" t="s">
        <v>31</v>
      </c>
      <c r="C1203" s="19">
        <f>40230+(3*365)</f>
        <v>41325</v>
      </c>
      <c r="D1203" s="18" t="s">
        <v>70</v>
      </c>
      <c r="E1203" s="18" t="s">
        <v>72</v>
      </c>
      <c r="F1203" s="21">
        <v>4320</v>
      </c>
    </row>
    <row r="1204" spans="2:6" x14ac:dyDescent="0.25">
      <c r="B1204" s="18" t="s">
        <v>21</v>
      </c>
      <c r="C1204" s="19">
        <f>40315+(3*365)</f>
        <v>41410</v>
      </c>
      <c r="D1204" s="18" t="s">
        <v>73</v>
      </c>
      <c r="E1204" s="18" t="s">
        <v>61</v>
      </c>
      <c r="F1204" s="21">
        <v>360</v>
      </c>
    </row>
    <row r="1205" spans="2:6" x14ac:dyDescent="0.25">
      <c r="B1205" s="18" t="s">
        <v>10</v>
      </c>
      <c r="C1205" s="19">
        <f>40599+(3*365)</f>
        <v>41694</v>
      </c>
      <c r="D1205" s="18" t="s">
        <v>67</v>
      </c>
      <c r="E1205" s="18" t="s">
        <v>63</v>
      </c>
      <c r="F1205" s="21">
        <v>208</v>
      </c>
    </row>
    <row r="1206" spans="2:6" x14ac:dyDescent="0.25">
      <c r="B1206" s="18" t="s">
        <v>31</v>
      </c>
      <c r="C1206" s="19">
        <f>40788+(3*365)</f>
        <v>41883</v>
      </c>
      <c r="D1206" s="18" t="s">
        <v>70</v>
      </c>
      <c r="E1206" s="18" t="s">
        <v>61</v>
      </c>
      <c r="F1206" s="21">
        <v>225</v>
      </c>
    </row>
    <row r="1207" spans="2:6" x14ac:dyDescent="0.25">
      <c r="B1207" s="18" t="s">
        <v>31</v>
      </c>
      <c r="C1207" s="19">
        <f>40412+(3*365)</f>
        <v>41507</v>
      </c>
      <c r="D1207" s="18" t="s">
        <v>76</v>
      </c>
      <c r="E1207" s="18" t="s">
        <v>66</v>
      </c>
      <c r="F1207" s="21">
        <v>1068</v>
      </c>
    </row>
    <row r="1208" spans="2:6" x14ac:dyDescent="0.25">
      <c r="B1208" s="18" t="s">
        <v>18</v>
      </c>
      <c r="C1208" s="19">
        <f>40833+(3*365)</f>
        <v>41928</v>
      </c>
      <c r="D1208" s="18" t="s">
        <v>68</v>
      </c>
      <c r="E1208" s="18" t="s">
        <v>63</v>
      </c>
      <c r="F1208" s="21">
        <v>540</v>
      </c>
    </row>
    <row r="1209" spans="2:6" x14ac:dyDescent="0.25">
      <c r="B1209" s="18" t="s">
        <v>11</v>
      </c>
      <c r="C1209" s="19">
        <f>40591+(3*365)</f>
        <v>41686</v>
      </c>
      <c r="D1209" s="18" t="s">
        <v>74</v>
      </c>
      <c r="E1209" s="18" t="s">
        <v>72</v>
      </c>
      <c r="F1209" s="21">
        <v>1431</v>
      </c>
    </row>
    <row r="1210" spans="2:6" x14ac:dyDescent="0.25">
      <c r="B1210" s="18" t="s">
        <v>9</v>
      </c>
      <c r="C1210" s="19">
        <f>40105+(3*365)</f>
        <v>41200</v>
      </c>
      <c r="D1210" s="18" t="s">
        <v>80</v>
      </c>
      <c r="E1210" s="18" t="s">
        <v>75</v>
      </c>
      <c r="F1210" s="21">
        <v>532</v>
      </c>
    </row>
    <row r="1211" spans="2:6" x14ac:dyDescent="0.25">
      <c r="B1211" s="18" t="s">
        <v>9</v>
      </c>
      <c r="C1211" s="19">
        <f>40088+(3*365)</f>
        <v>41183</v>
      </c>
      <c r="D1211" s="18" t="s">
        <v>62</v>
      </c>
      <c r="E1211" s="18" t="s">
        <v>59</v>
      </c>
      <c r="F1211" s="21">
        <v>238</v>
      </c>
    </row>
    <row r="1212" spans="2:6" x14ac:dyDescent="0.25">
      <c r="B1212" s="18" t="s">
        <v>9</v>
      </c>
      <c r="C1212" s="19">
        <f>41127+(3*365)</f>
        <v>42222</v>
      </c>
      <c r="D1212" s="18" t="s">
        <v>62</v>
      </c>
      <c r="E1212" s="18" t="s">
        <v>61</v>
      </c>
      <c r="F1212" s="21">
        <v>344</v>
      </c>
    </row>
    <row r="1213" spans="2:6" x14ac:dyDescent="0.25">
      <c r="B1213" s="18" t="s">
        <v>11</v>
      </c>
      <c r="C1213" s="19">
        <f>40375+(3*365)</f>
        <v>41470</v>
      </c>
      <c r="D1213" s="18" t="s">
        <v>74</v>
      </c>
      <c r="E1213" s="18" t="s">
        <v>72</v>
      </c>
      <c r="F1213" s="21">
        <v>3255</v>
      </c>
    </row>
    <row r="1214" spans="2:6" x14ac:dyDescent="0.25">
      <c r="B1214" s="18" t="s">
        <v>18</v>
      </c>
      <c r="C1214" s="19">
        <f>40873+(3*365)</f>
        <v>41968</v>
      </c>
      <c r="D1214" s="18" t="s">
        <v>71</v>
      </c>
      <c r="E1214" s="18" t="s">
        <v>59</v>
      </c>
      <c r="F1214" s="21">
        <v>928</v>
      </c>
    </row>
    <row r="1215" spans="2:6" x14ac:dyDescent="0.25">
      <c r="B1215" s="18" t="s">
        <v>9</v>
      </c>
      <c r="C1215" s="19">
        <f>40685+(3*365)</f>
        <v>41780</v>
      </c>
      <c r="D1215" s="18" t="s">
        <v>62</v>
      </c>
      <c r="E1215" s="18" t="s">
        <v>61</v>
      </c>
      <c r="F1215" s="21">
        <v>624</v>
      </c>
    </row>
    <row r="1216" spans="2:6" x14ac:dyDescent="0.25">
      <c r="B1216" s="18" t="s">
        <v>31</v>
      </c>
      <c r="C1216" s="19">
        <f>39909+(3*365)</f>
        <v>41004</v>
      </c>
      <c r="D1216" s="18" t="s">
        <v>76</v>
      </c>
      <c r="E1216" s="18" t="s">
        <v>61</v>
      </c>
      <c r="F1216" s="21">
        <v>1296</v>
      </c>
    </row>
    <row r="1217" spans="2:6" x14ac:dyDescent="0.25">
      <c r="B1217" s="18" t="s">
        <v>21</v>
      </c>
      <c r="C1217" s="19">
        <f>40632+(3*365)</f>
        <v>41727</v>
      </c>
      <c r="D1217" s="18" t="s">
        <v>73</v>
      </c>
      <c r="E1217" s="18" t="s">
        <v>61</v>
      </c>
      <c r="F1217" s="21">
        <v>486</v>
      </c>
    </row>
    <row r="1218" spans="2:6" x14ac:dyDescent="0.25">
      <c r="B1218" s="18" t="s">
        <v>9</v>
      </c>
      <c r="C1218" s="19">
        <f>40220+(3*365)</f>
        <v>41315</v>
      </c>
      <c r="D1218" s="18" t="s">
        <v>80</v>
      </c>
      <c r="E1218" s="18" t="s">
        <v>66</v>
      </c>
      <c r="F1218" s="21">
        <v>370</v>
      </c>
    </row>
    <row r="1219" spans="2:6" x14ac:dyDescent="0.25">
      <c r="B1219" s="18" t="s">
        <v>25</v>
      </c>
      <c r="C1219" s="19">
        <f>40839+(3*365)</f>
        <v>41934</v>
      </c>
      <c r="D1219" s="18" t="s">
        <v>78</v>
      </c>
      <c r="E1219" s="18" t="s">
        <v>72</v>
      </c>
      <c r="F1219" s="21">
        <v>1200</v>
      </c>
    </row>
    <row r="1220" spans="2:6" x14ac:dyDescent="0.25">
      <c r="B1220" s="18" t="s">
        <v>10</v>
      </c>
      <c r="C1220" s="19">
        <f>39943+(3*365)</f>
        <v>41038</v>
      </c>
      <c r="D1220" s="18" t="s">
        <v>67</v>
      </c>
      <c r="E1220" s="18" t="s">
        <v>63</v>
      </c>
      <c r="F1220" s="21">
        <v>960</v>
      </c>
    </row>
    <row r="1221" spans="2:6" x14ac:dyDescent="0.25">
      <c r="B1221" s="18" t="s">
        <v>8</v>
      </c>
      <c r="C1221" s="19">
        <f>40099+(3*365)</f>
        <v>41194</v>
      </c>
      <c r="D1221" s="18" t="s">
        <v>77</v>
      </c>
      <c r="E1221" s="18" t="s">
        <v>69</v>
      </c>
      <c r="F1221" s="21">
        <v>3633</v>
      </c>
    </row>
    <row r="1222" spans="2:6" x14ac:dyDescent="0.25">
      <c r="B1222" s="18" t="s">
        <v>8</v>
      </c>
      <c r="C1222" s="19">
        <f>40477+(3*365)</f>
        <v>41572</v>
      </c>
      <c r="D1222" s="18" t="s">
        <v>81</v>
      </c>
      <c r="E1222" s="18" t="s">
        <v>64</v>
      </c>
      <c r="F1222" s="21">
        <v>4068</v>
      </c>
    </row>
    <row r="1223" spans="2:6" x14ac:dyDescent="0.25">
      <c r="B1223" s="18" t="s">
        <v>11</v>
      </c>
      <c r="C1223" s="19">
        <f>40485+(3*365)</f>
        <v>41580</v>
      </c>
      <c r="D1223" s="18" t="s">
        <v>74</v>
      </c>
      <c r="E1223" s="18" t="s">
        <v>59</v>
      </c>
      <c r="F1223" s="21">
        <v>405</v>
      </c>
    </row>
    <row r="1224" spans="2:6" x14ac:dyDescent="0.25">
      <c r="B1224" s="18" t="s">
        <v>10</v>
      </c>
      <c r="C1224" s="19">
        <f>40091+(3*365)</f>
        <v>41186</v>
      </c>
      <c r="D1224" s="18" t="s">
        <v>67</v>
      </c>
      <c r="E1224" s="18" t="s">
        <v>72</v>
      </c>
      <c r="F1224" s="21">
        <v>1036</v>
      </c>
    </row>
    <row r="1225" spans="2:6" x14ac:dyDescent="0.25">
      <c r="B1225" s="18" t="s">
        <v>25</v>
      </c>
      <c r="C1225" s="19">
        <f>40840+(3*365)</f>
        <v>41935</v>
      </c>
      <c r="D1225" s="18" t="s">
        <v>79</v>
      </c>
      <c r="E1225" s="18" t="s">
        <v>61</v>
      </c>
      <c r="F1225" s="21">
        <v>1896</v>
      </c>
    </row>
    <row r="1226" spans="2:6" x14ac:dyDescent="0.25">
      <c r="B1226" s="18" t="s">
        <v>18</v>
      </c>
      <c r="C1226" s="19">
        <f>40280+(3*365)</f>
        <v>41375</v>
      </c>
      <c r="D1226" s="18" t="s">
        <v>68</v>
      </c>
      <c r="E1226" s="18" t="s">
        <v>66</v>
      </c>
      <c r="F1226" s="21">
        <v>615</v>
      </c>
    </row>
    <row r="1227" spans="2:6" x14ac:dyDescent="0.25">
      <c r="B1227" s="18" t="s">
        <v>18</v>
      </c>
      <c r="C1227" s="19">
        <f>40658+(3*365)</f>
        <v>41753</v>
      </c>
      <c r="D1227" s="18" t="s">
        <v>68</v>
      </c>
      <c r="E1227" s="18" t="s">
        <v>64</v>
      </c>
      <c r="F1227" s="21">
        <v>7872</v>
      </c>
    </row>
    <row r="1228" spans="2:6" x14ac:dyDescent="0.25">
      <c r="B1228" s="18" t="s">
        <v>25</v>
      </c>
      <c r="C1228" s="19">
        <f>41022+(3*365)</f>
        <v>42117</v>
      </c>
      <c r="D1228" s="18" t="s">
        <v>78</v>
      </c>
      <c r="E1228" s="18" t="s">
        <v>59</v>
      </c>
      <c r="F1228" s="21">
        <v>68</v>
      </c>
    </row>
    <row r="1229" spans="2:6" x14ac:dyDescent="0.25">
      <c r="B1229" s="18" t="s">
        <v>25</v>
      </c>
      <c r="C1229" s="19">
        <f>40986+(3*365)</f>
        <v>42081</v>
      </c>
      <c r="D1229" s="18" t="s">
        <v>79</v>
      </c>
      <c r="E1229" s="18" t="s">
        <v>64</v>
      </c>
      <c r="F1229" s="21">
        <v>11664</v>
      </c>
    </row>
    <row r="1230" spans="2:6" x14ac:dyDescent="0.25">
      <c r="B1230" s="18" t="s">
        <v>31</v>
      </c>
      <c r="C1230" s="19">
        <f>40675+(3*365)</f>
        <v>41770</v>
      </c>
      <c r="D1230" s="18" t="s">
        <v>76</v>
      </c>
      <c r="E1230" s="18" t="s">
        <v>75</v>
      </c>
      <c r="F1230" s="21">
        <v>390</v>
      </c>
    </row>
    <row r="1231" spans="2:6" x14ac:dyDescent="0.25">
      <c r="B1231" s="18" t="s">
        <v>18</v>
      </c>
      <c r="C1231" s="19">
        <f>39977+(3*365)</f>
        <v>41072</v>
      </c>
      <c r="D1231" s="18" t="s">
        <v>68</v>
      </c>
      <c r="E1231" s="18" t="s">
        <v>63</v>
      </c>
      <c r="F1231" s="21">
        <v>504</v>
      </c>
    </row>
    <row r="1232" spans="2:6" x14ac:dyDescent="0.25">
      <c r="B1232" s="18" t="s">
        <v>10</v>
      </c>
      <c r="C1232" s="19">
        <f>40304+(3*365)</f>
        <v>41399</v>
      </c>
      <c r="D1232" s="18" t="s">
        <v>67</v>
      </c>
      <c r="E1232" s="18" t="s">
        <v>66</v>
      </c>
      <c r="F1232" s="21">
        <v>720</v>
      </c>
    </row>
    <row r="1233" spans="2:6" x14ac:dyDescent="0.25">
      <c r="B1233" s="18" t="s">
        <v>31</v>
      </c>
      <c r="C1233" s="19">
        <f>40819+(3*365)</f>
        <v>41914</v>
      </c>
      <c r="D1233" s="18" t="s">
        <v>76</v>
      </c>
      <c r="E1233" s="18" t="s">
        <v>66</v>
      </c>
      <c r="F1233" s="21">
        <v>1239</v>
      </c>
    </row>
    <row r="1234" spans="2:6" x14ac:dyDescent="0.25">
      <c r="B1234" s="18" t="s">
        <v>31</v>
      </c>
      <c r="C1234" s="19">
        <f>39876+(3*365)</f>
        <v>40971</v>
      </c>
      <c r="D1234" s="18" t="s">
        <v>70</v>
      </c>
      <c r="E1234" s="18" t="s">
        <v>66</v>
      </c>
      <c r="F1234" s="21">
        <v>210</v>
      </c>
    </row>
    <row r="1235" spans="2:6" x14ac:dyDescent="0.25">
      <c r="B1235" s="18" t="s">
        <v>9</v>
      </c>
      <c r="C1235" s="19">
        <f>40970+(3*365)</f>
        <v>42065</v>
      </c>
      <c r="D1235" s="18" t="s">
        <v>62</v>
      </c>
      <c r="E1235" s="18" t="s">
        <v>66</v>
      </c>
      <c r="F1235" s="21">
        <v>155</v>
      </c>
    </row>
    <row r="1236" spans="2:6" x14ac:dyDescent="0.25">
      <c r="B1236" s="18" t="s">
        <v>18</v>
      </c>
      <c r="C1236" s="19">
        <f>40865+(3*365)</f>
        <v>41960</v>
      </c>
      <c r="D1236" s="18" t="s">
        <v>68</v>
      </c>
      <c r="E1236" s="18" t="s">
        <v>63</v>
      </c>
      <c r="F1236" s="21">
        <v>768</v>
      </c>
    </row>
    <row r="1237" spans="2:6" x14ac:dyDescent="0.25">
      <c r="B1237" s="18" t="s">
        <v>31</v>
      </c>
      <c r="C1237" s="19">
        <f>40289+(3*365)</f>
        <v>41384</v>
      </c>
      <c r="D1237" s="18" t="s">
        <v>76</v>
      </c>
      <c r="E1237" s="18" t="s">
        <v>66</v>
      </c>
      <c r="F1237" s="21">
        <v>1350</v>
      </c>
    </row>
    <row r="1238" spans="2:6" x14ac:dyDescent="0.25">
      <c r="B1238" s="18" t="s">
        <v>25</v>
      </c>
      <c r="C1238" s="19">
        <f>40109+(3*365)</f>
        <v>41204</v>
      </c>
      <c r="D1238" s="18" t="s">
        <v>78</v>
      </c>
      <c r="E1238" s="18" t="s">
        <v>75</v>
      </c>
      <c r="F1238" s="21">
        <v>42</v>
      </c>
    </row>
    <row r="1239" spans="2:6" x14ac:dyDescent="0.25">
      <c r="B1239" s="18" t="s">
        <v>31</v>
      </c>
      <c r="C1239" s="19">
        <f>40008+(3*365)</f>
        <v>41103</v>
      </c>
      <c r="D1239" s="18" t="s">
        <v>70</v>
      </c>
      <c r="E1239" s="18" t="s">
        <v>66</v>
      </c>
      <c r="F1239" s="21">
        <v>585</v>
      </c>
    </row>
    <row r="1240" spans="2:6" x14ac:dyDescent="0.25">
      <c r="B1240" s="18" t="s">
        <v>8</v>
      </c>
      <c r="C1240" s="19">
        <f>40954+(3*365)</f>
        <v>42049</v>
      </c>
      <c r="D1240" s="18" t="s">
        <v>77</v>
      </c>
      <c r="E1240" s="18" t="s">
        <v>69</v>
      </c>
      <c r="F1240" s="21">
        <v>792</v>
      </c>
    </row>
    <row r="1241" spans="2:6" x14ac:dyDescent="0.25">
      <c r="B1241" s="18" t="s">
        <v>11</v>
      </c>
      <c r="C1241" s="19">
        <f>41231+(3*365)</f>
        <v>42326</v>
      </c>
      <c r="D1241" s="18" t="s">
        <v>74</v>
      </c>
      <c r="E1241" s="18" t="s">
        <v>63</v>
      </c>
      <c r="F1241" s="21">
        <v>1176</v>
      </c>
    </row>
    <row r="1242" spans="2:6" x14ac:dyDescent="0.25">
      <c r="B1242" s="18" t="s">
        <v>25</v>
      </c>
      <c r="C1242" s="19">
        <f>40548+(3*365)</f>
        <v>41643</v>
      </c>
      <c r="D1242" s="18" t="s">
        <v>78</v>
      </c>
      <c r="E1242" s="18" t="s">
        <v>63</v>
      </c>
      <c r="F1242" s="21">
        <v>656</v>
      </c>
    </row>
    <row r="1243" spans="2:6" x14ac:dyDescent="0.25">
      <c r="B1243" s="18" t="s">
        <v>25</v>
      </c>
      <c r="C1243" s="19">
        <f>39995+(3*365)</f>
        <v>41090</v>
      </c>
      <c r="D1243" s="18" t="s">
        <v>79</v>
      </c>
      <c r="E1243" s="18" t="s">
        <v>72</v>
      </c>
      <c r="F1243" s="21">
        <v>1674</v>
      </c>
    </row>
    <row r="1244" spans="2:6" x14ac:dyDescent="0.25">
      <c r="B1244" s="18" t="s">
        <v>8</v>
      </c>
      <c r="C1244" s="19">
        <f>40168+(3*365)</f>
        <v>41263</v>
      </c>
      <c r="D1244" s="18" t="s">
        <v>81</v>
      </c>
      <c r="E1244" s="18" t="s">
        <v>64</v>
      </c>
      <c r="F1244" s="21">
        <v>2652</v>
      </c>
    </row>
    <row r="1245" spans="2:6" x14ac:dyDescent="0.25">
      <c r="B1245" s="18" t="s">
        <v>10</v>
      </c>
      <c r="C1245" s="19">
        <f>41028+(3*365)</f>
        <v>42123</v>
      </c>
      <c r="D1245" s="18" t="s">
        <v>67</v>
      </c>
      <c r="E1245" s="18" t="s">
        <v>72</v>
      </c>
      <c r="F1245" s="21">
        <v>900</v>
      </c>
    </row>
    <row r="1246" spans="2:6" x14ac:dyDescent="0.25">
      <c r="B1246" s="18" t="s">
        <v>8</v>
      </c>
      <c r="C1246" s="19">
        <f>40587+(3*365)</f>
        <v>41682</v>
      </c>
      <c r="D1246" s="18" t="s">
        <v>77</v>
      </c>
      <c r="E1246" s="18" t="s">
        <v>69</v>
      </c>
      <c r="F1246" s="21">
        <v>4440</v>
      </c>
    </row>
    <row r="1247" spans="2:6" x14ac:dyDescent="0.25">
      <c r="B1247" s="18" t="s">
        <v>31</v>
      </c>
      <c r="C1247" s="19">
        <f>40199+(3*365)</f>
        <v>41294</v>
      </c>
      <c r="D1247" s="18" t="s">
        <v>70</v>
      </c>
      <c r="E1247" s="18" t="s">
        <v>64</v>
      </c>
      <c r="F1247" s="21">
        <v>3258</v>
      </c>
    </row>
    <row r="1248" spans="2:6" x14ac:dyDescent="0.25">
      <c r="B1248" s="18" t="s">
        <v>31</v>
      </c>
      <c r="C1248" s="19">
        <f>41059+(3*365)</f>
        <v>42154</v>
      </c>
      <c r="D1248" s="18" t="s">
        <v>70</v>
      </c>
      <c r="E1248" s="18" t="s">
        <v>69</v>
      </c>
      <c r="F1248" s="21">
        <v>2340</v>
      </c>
    </row>
    <row r="1249" spans="2:6" x14ac:dyDescent="0.25">
      <c r="B1249" s="18" t="s">
        <v>21</v>
      </c>
      <c r="C1249" s="19">
        <f>40969+(3*365)</f>
        <v>42064</v>
      </c>
      <c r="D1249" s="18" t="s">
        <v>73</v>
      </c>
      <c r="E1249" s="18" t="s">
        <v>63</v>
      </c>
      <c r="F1249" s="21">
        <v>660</v>
      </c>
    </row>
    <row r="1250" spans="2:6" x14ac:dyDescent="0.25">
      <c r="B1250" s="18" t="s">
        <v>10</v>
      </c>
      <c r="C1250" s="19">
        <f>39993+(3*365)</f>
        <v>41088</v>
      </c>
      <c r="D1250" s="18" t="s">
        <v>67</v>
      </c>
      <c r="E1250" s="18" t="s">
        <v>72</v>
      </c>
      <c r="F1250" s="21">
        <v>3460</v>
      </c>
    </row>
    <row r="1251" spans="2:6" x14ac:dyDescent="0.25">
      <c r="B1251" s="18" t="s">
        <v>10</v>
      </c>
      <c r="C1251" s="19">
        <f>40608+(3*365)</f>
        <v>41703</v>
      </c>
      <c r="D1251" s="18" t="s">
        <v>67</v>
      </c>
      <c r="E1251" s="18" t="s">
        <v>64</v>
      </c>
      <c r="F1251" s="21">
        <v>1734</v>
      </c>
    </row>
    <row r="1252" spans="2:6" x14ac:dyDescent="0.25">
      <c r="B1252" s="18" t="s">
        <v>21</v>
      </c>
      <c r="C1252" s="19">
        <f>40678+(3*365)</f>
        <v>41773</v>
      </c>
      <c r="D1252" s="18" t="s">
        <v>73</v>
      </c>
      <c r="E1252" s="18" t="s">
        <v>69</v>
      </c>
      <c r="F1252" s="21">
        <v>1584</v>
      </c>
    </row>
    <row r="1253" spans="2:6" x14ac:dyDescent="0.25">
      <c r="B1253" s="18" t="s">
        <v>11</v>
      </c>
      <c r="C1253" s="19">
        <f>39854+(3*365)</f>
        <v>40949</v>
      </c>
      <c r="D1253" s="18" t="s">
        <v>60</v>
      </c>
      <c r="E1253" s="18" t="s">
        <v>75</v>
      </c>
      <c r="F1253" s="21">
        <v>198</v>
      </c>
    </row>
    <row r="1254" spans="2:6" x14ac:dyDescent="0.25">
      <c r="B1254" s="18" t="s">
        <v>18</v>
      </c>
      <c r="C1254" s="19">
        <f>40404+(3*365)</f>
        <v>41499</v>
      </c>
      <c r="D1254" s="18" t="s">
        <v>71</v>
      </c>
      <c r="E1254" s="18" t="s">
        <v>64</v>
      </c>
      <c r="F1254" s="21">
        <v>6000</v>
      </c>
    </row>
    <row r="1255" spans="2:6" x14ac:dyDescent="0.25">
      <c r="B1255" s="18" t="s">
        <v>10</v>
      </c>
      <c r="C1255" s="19">
        <f>39884+(3*365)</f>
        <v>40979</v>
      </c>
      <c r="D1255" s="18" t="s">
        <v>67</v>
      </c>
      <c r="E1255" s="18" t="s">
        <v>66</v>
      </c>
      <c r="F1255" s="21">
        <v>720</v>
      </c>
    </row>
    <row r="1256" spans="2:6" x14ac:dyDescent="0.25">
      <c r="B1256" s="18" t="s">
        <v>21</v>
      </c>
      <c r="C1256" s="19">
        <f>40184+(3*365)</f>
        <v>41279</v>
      </c>
      <c r="D1256" s="18" t="s">
        <v>73</v>
      </c>
      <c r="E1256" s="18" t="s">
        <v>64</v>
      </c>
      <c r="F1256" s="21">
        <v>13500</v>
      </c>
    </row>
    <row r="1257" spans="2:6" x14ac:dyDescent="0.25">
      <c r="B1257" s="18" t="s">
        <v>21</v>
      </c>
      <c r="C1257" s="19">
        <f>41037+(3*365)</f>
        <v>42132</v>
      </c>
      <c r="D1257" s="18" t="s">
        <v>58</v>
      </c>
      <c r="E1257" s="18" t="s">
        <v>72</v>
      </c>
      <c r="F1257" s="21">
        <v>724</v>
      </c>
    </row>
    <row r="1258" spans="2:6" x14ac:dyDescent="0.25">
      <c r="B1258" s="18" t="s">
        <v>31</v>
      </c>
      <c r="C1258" s="19">
        <f>40337+(3*365)</f>
        <v>41432</v>
      </c>
      <c r="D1258" s="18" t="s">
        <v>76</v>
      </c>
      <c r="E1258" s="18" t="s">
        <v>75</v>
      </c>
      <c r="F1258" s="21">
        <v>360</v>
      </c>
    </row>
    <row r="1259" spans="2:6" x14ac:dyDescent="0.25">
      <c r="B1259" s="18" t="s">
        <v>9</v>
      </c>
      <c r="C1259" s="19">
        <f>40292+(3*365)</f>
        <v>41387</v>
      </c>
      <c r="D1259" s="18" t="s">
        <v>80</v>
      </c>
      <c r="E1259" s="18" t="s">
        <v>69</v>
      </c>
      <c r="F1259" s="21">
        <v>480</v>
      </c>
    </row>
    <row r="1260" spans="2:6" x14ac:dyDescent="0.25">
      <c r="B1260" s="18" t="s">
        <v>21</v>
      </c>
      <c r="C1260" s="19">
        <f>39822+(3*365)</f>
        <v>40917</v>
      </c>
      <c r="D1260" s="18" t="s">
        <v>73</v>
      </c>
      <c r="E1260" s="18" t="s">
        <v>59</v>
      </c>
      <c r="F1260" s="21">
        <v>22</v>
      </c>
    </row>
    <row r="1261" spans="2:6" x14ac:dyDescent="0.25">
      <c r="B1261" s="18" t="s">
        <v>8</v>
      </c>
      <c r="C1261" s="19">
        <f>40330+(3*365)</f>
        <v>41425</v>
      </c>
      <c r="D1261" s="18" t="s">
        <v>81</v>
      </c>
      <c r="E1261" s="18" t="s">
        <v>64</v>
      </c>
      <c r="F1261" s="21">
        <v>16992</v>
      </c>
    </row>
    <row r="1262" spans="2:6" x14ac:dyDescent="0.25">
      <c r="B1262" s="18" t="s">
        <v>31</v>
      </c>
      <c r="C1262" s="19">
        <f>41124+(3*365)</f>
        <v>42219</v>
      </c>
      <c r="D1262" s="18" t="s">
        <v>70</v>
      </c>
      <c r="E1262" s="18" t="s">
        <v>61</v>
      </c>
      <c r="F1262" s="21">
        <v>282</v>
      </c>
    </row>
    <row r="1263" spans="2:6" x14ac:dyDescent="0.25">
      <c r="B1263" s="18" t="s">
        <v>8</v>
      </c>
      <c r="C1263" s="19">
        <f>41189+(3*365)</f>
        <v>42284</v>
      </c>
      <c r="D1263" s="18" t="s">
        <v>81</v>
      </c>
      <c r="E1263" s="18" t="s">
        <v>66</v>
      </c>
      <c r="F1263" s="21">
        <v>1184</v>
      </c>
    </row>
    <row r="1264" spans="2:6" x14ac:dyDescent="0.25">
      <c r="B1264" s="18" t="s">
        <v>9</v>
      </c>
      <c r="C1264" s="19">
        <f>41047+(3*365)</f>
        <v>42142</v>
      </c>
      <c r="D1264" s="18" t="s">
        <v>62</v>
      </c>
      <c r="E1264" s="18" t="s">
        <v>66</v>
      </c>
      <c r="F1264" s="21">
        <v>288</v>
      </c>
    </row>
    <row r="1265" spans="2:6" x14ac:dyDescent="0.25">
      <c r="B1265" s="18" t="s">
        <v>8</v>
      </c>
      <c r="C1265" s="19">
        <f>39973+(3*365)</f>
        <v>41068</v>
      </c>
      <c r="D1265" s="18" t="s">
        <v>81</v>
      </c>
      <c r="E1265" s="18" t="s">
        <v>64</v>
      </c>
      <c r="F1265" s="21">
        <v>3456</v>
      </c>
    </row>
    <row r="1266" spans="2:6" x14ac:dyDescent="0.25">
      <c r="B1266" s="18" t="s">
        <v>8</v>
      </c>
      <c r="C1266" s="19">
        <f>40614+(3*365)</f>
        <v>41709</v>
      </c>
      <c r="D1266" s="18" t="s">
        <v>77</v>
      </c>
      <c r="E1266" s="18" t="s">
        <v>75</v>
      </c>
      <c r="F1266" s="21">
        <v>256</v>
      </c>
    </row>
    <row r="1267" spans="2:6" x14ac:dyDescent="0.25">
      <c r="B1267" s="18" t="s">
        <v>11</v>
      </c>
      <c r="C1267" s="19">
        <f>40683+(3*365)</f>
        <v>41778</v>
      </c>
      <c r="D1267" s="18" t="s">
        <v>74</v>
      </c>
      <c r="E1267" s="18" t="s">
        <v>61</v>
      </c>
      <c r="F1267" s="21">
        <v>612</v>
      </c>
    </row>
    <row r="1268" spans="2:6" x14ac:dyDescent="0.25">
      <c r="B1268" s="18" t="s">
        <v>18</v>
      </c>
      <c r="C1268" s="19">
        <f>40647+(3*365)</f>
        <v>41742</v>
      </c>
      <c r="D1268" s="18" t="s">
        <v>71</v>
      </c>
      <c r="E1268" s="18" t="s">
        <v>75</v>
      </c>
      <c r="F1268" s="21">
        <v>248</v>
      </c>
    </row>
    <row r="1269" spans="2:6" x14ac:dyDescent="0.25">
      <c r="B1269" s="18" t="s">
        <v>9</v>
      </c>
      <c r="C1269" s="19">
        <f>39924+(3*365)</f>
        <v>41019</v>
      </c>
      <c r="D1269" s="18" t="s">
        <v>62</v>
      </c>
      <c r="E1269" s="18" t="s">
        <v>64</v>
      </c>
      <c r="F1269" s="21">
        <v>1330</v>
      </c>
    </row>
    <row r="1270" spans="2:6" x14ac:dyDescent="0.25">
      <c r="B1270" s="18" t="s">
        <v>10</v>
      </c>
      <c r="C1270" s="19">
        <f>40199+(3*365)</f>
        <v>41294</v>
      </c>
      <c r="D1270" s="18" t="s">
        <v>67</v>
      </c>
      <c r="E1270" s="18" t="s">
        <v>69</v>
      </c>
      <c r="F1270" s="21">
        <v>1320</v>
      </c>
    </row>
    <row r="1271" spans="2:6" x14ac:dyDescent="0.25">
      <c r="B1271" s="18" t="s">
        <v>8</v>
      </c>
      <c r="C1271" s="19">
        <f>40173+(3*365)</f>
        <v>41268</v>
      </c>
      <c r="D1271" s="18" t="s">
        <v>81</v>
      </c>
      <c r="E1271" s="18" t="s">
        <v>75</v>
      </c>
      <c r="F1271" s="21">
        <v>570</v>
      </c>
    </row>
    <row r="1272" spans="2:6" x14ac:dyDescent="0.25">
      <c r="B1272" s="18" t="s">
        <v>10</v>
      </c>
      <c r="C1272" s="19">
        <f>40534+(3*365)</f>
        <v>41629</v>
      </c>
      <c r="D1272" s="18" t="s">
        <v>67</v>
      </c>
      <c r="E1272" s="18" t="s">
        <v>59</v>
      </c>
      <c r="F1272" s="21">
        <v>153</v>
      </c>
    </row>
    <row r="1273" spans="2:6" x14ac:dyDescent="0.25">
      <c r="B1273" s="18" t="s">
        <v>9</v>
      </c>
      <c r="C1273" s="19">
        <f>41123+(3*365)</f>
        <v>42218</v>
      </c>
      <c r="D1273" s="18" t="s">
        <v>80</v>
      </c>
      <c r="E1273" s="18" t="s">
        <v>64</v>
      </c>
      <c r="F1273" s="21">
        <v>2035</v>
      </c>
    </row>
    <row r="1274" spans="2:6" x14ac:dyDescent="0.25">
      <c r="B1274" s="18" t="s">
        <v>31</v>
      </c>
      <c r="C1274" s="19">
        <f>39883+(3*365)</f>
        <v>40978</v>
      </c>
      <c r="D1274" s="18" t="s">
        <v>76</v>
      </c>
      <c r="E1274" s="18" t="s">
        <v>61</v>
      </c>
      <c r="F1274" s="21">
        <v>936</v>
      </c>
    </row>
    <row r="1275" spans="2:6" x14ac:dyDescent="0.25">
      <c r="B1275" s="18" t="s">
        <v>10</v>
      </c>
      <c r="C1275" s="19">
        <f>40900+(3*365)</f>
        <v>41995</v>
      </c>
      <c r="D1275" s="18" t="s">
        <v>65</v>
      </c>
      <c r="E1275" s="18" t="s">
        <v>63</v>
      </c>
      <c r="F1275" s="21">
        <v>268</v>
      </c>
    </row>
    <row r="1276" spans="2:6" x14ac:dyDescent="0.25">
      <c r="B1276" s="18" t="s">
        <v>8</v>
      </c>
      <c r="C1276" s="19">
        <f>40021+(3*365)</f>
        <v>41116</v>
      </c>
      <c r="D1276" s="18" t="s">
        <v>81</v>
      </c>
      <c r="E1276" s="18" t="s">
        <v>72</v>
      </c>
      <c r="F1276" s="21">
        <v>1674</v>
      </c>
    </row>
    <row r="1277" spans="2:6" x14ac:dyDescent="0.25">
      <c r="B1277" s="18" t="s">
        <v>21</v>
      </c>
      <c r="C1277" s="19">
        <f>39855+(3*365)</f>
        <v>40950</v>
      </c>
      <c r="D1277" s="18" t="s">
        <v>58</v>
      </c>
      <c r="E1277" s="18" t="s">
        <v>61</v>
      </c>
      <c r="F1277" s="21">
        <v>79</v>
      </c>
    </row>
    <row r="1278" spans="2:6" x14ac:dyDescent="0.25">
      <c r="B1278" s="18" t="s">
        <v>8</v>
      </c>
      <c r="C1278" s="19">
        <f>40746+(3*365)</f>
        <v>41841</v>
      </c>
      <c r="D1278" s="18" t="s">
        <v>77</v>
      </c>
      <c r="E1278" s="18" t="s">
        <v>75</v>
      </c>
      <c r="F1278" s="21">
        <v>52</v>
      </c>
    </row>
    <row r="1279" spans="2:6" x14ac:dyDescent="0.25">
      <c r="B1279" s="18" t="s">
        <v>25</v>
      </c>
      <c r="C1279" s="19">
        <f>39987+(3*365)</f>
        <v>41082</v>
      </c>
      <c r="D1279" s="18" t="s">
        <v>78</v>
      </c>
      <c r="E1279" s="18" t="s">
        <v>66</v>
      </c>
      <c r="F1279" s="21">
        <v>1408</v>
      </c>
    </row>
    <row r="1280" spans="2:6" x14ac:dyDescent="0.25">
      <c r="B1280" s="18" t="s">
        <v>11</v>
      </c>
      <c r="C1280" s="19">
        <f>41003+(3*365)</f>
        <v>42098</v>
      </c>
      <c r="D1280" s="18" t="s">
        <v>60</v>
      </c>
      <c r="E1280" s="18" t="s">
        <v>66</v>
      </c>
      <c r="F1280" s="21">
        <v>1856</v>
      </c>
    </row>
    <row r="1281" spans="2:6" x14ac:dyDescent="0.25">
      <c r="B1281" s="18" t="s">
        <v>10</v>
      </c>
      <c r="C1281" s="19">
        <f>40295+(3*365)</f>
        <v>41390</v>
      </c>
      <c r="D1281" s="18" t="s">
        <v>67</v>
      </c>
      <c r="E1281" s="18" t="s">
        <v>64</v>
      </c>
      <c r="F1281" s="21">
        <v>11550</v>
      </c>
    </row>
    <row r="1282" spans="2:6" x14ac:dyDescent="0.25">
      <c r="B1282" s="18" t="s">
        <v>25</v>
      </c>
      <c r="C1282" s="19">
        <f>41123+(3*365)</f>
        <v>42218</v>
      </c>
      <c r="D1282" s="18" t="s">
        <v>79</v>
      </c>
      <c r="E1282" s="18" t="s">
        <v>63</v>
      </c>
      <c r="F1282" s="21">
        <v>138</v>
      </c>
    </row>
    <row r="1283" spans="2:6" x14ac:dyDescent="0.25">
      <c r="B1283" s="18" t="s">
        <v>11</v>
      </c>
      <c r="C1283" s="19">
        <f>40574+(3*365)</f>
        <v>41669</v>
      </c>
      <c r="D1283" s="18" t="s">
        <v>60</v>
      </c>
      <c r="E1283" s="18" t="s">
        <v>69</v>
      </c>
      <c r="F1283" s="21">
        <v>1680</v>
      </c>
    </row>
    <row r="1284" spans="2:6" x14ac:dyDescent="0.25">
      <c r="B1284" s="18" t="s">
        <v>21</v>
      </c>
      <c r="C1284" s="19">
        <f>40328+(3*365)</f>
        <v>41423</v>
      </c>
      <c r="D1284" s="18" t="s">
        <v>58</v>
      </c>
      <c r="E1284" s="18" t="s">
        <v>59</v>
      </c>
      <c r="F1284" s="21">
        <v>270</v>
      </c>
    </row>
    <row r="1285" spans="2:6" x14ac:dyDescent="0.25">
      <c r="B1285" s="18" t="s">
        <v>8</v>
      </c>
      <c r="C1285" s="19">
        <f>40999+(3*365)</f>
        <v>42094</v>
      </c>
      <c r="D1285" s="18" t="s">
        <v>81</v>
      </c>
      <c r="E1285" s="18" t="s">
        <v>75</v>
      </c>
      <c r="F1285" s="21">
        <v>256</v>
      </c>
    </row>
    <row r="1286" spans="2:6" x14ac:dyDescent="0.25">
      <c r="B1286" s="18" t="s">
        <v>31</v>
      </c>
      <c r="C1286" s="19">
        <f>40770+(3*365)</f>
        <v>41865</v>
      </c>
      <c r="D1286" s="18" t="s">
        <v>70</v>
      </c>
      <c r="E1286" s="18" t="s">
        <v>69</v>
      </c>
      <c r="F1286" s="21">
        <v>1992</v>
      </c>
    </row>
    <row r="1287" spans="2:6" x14ac:dyDescent="0.25">
      <c r="B1287" s="18" t="s">
        <v>11</v>
      </c>
      <c r="C1287" s="19">
        <f>40382+(3*365)</f>
        <v>41477</v>
      </c>
      <c r="D1287" s="18" t="s">
        <v>74</v>
      </c>
      <c r="E1287" s="18" t="s">
        <v>59</v>
      </c>
      <c r="F1287" s="21">
        <v>252</v>
      </c>
    </row>
    <row r="1288" spans="2:6" x14ac:dyDescent="0.25">
      <c r="B1288" s="18" t="s">
        <v>11</v>
      </c>
      <c r="C1288" s="19">
        <f>41207+(3*365)</f>
        <v>42302</v>
      </c>
      <c r="D1288" s="18" t="s">
        <v>74</v>
      </c>
      <c r="E1288" s="18" t="s">
        <v>75</v>
      </c>
      <c r="F1288" s="21">
        <v>1064</v>
      </c>
    </row>
    <row r="1289" spans="2:6" x14ac:dyDescent="0.25">
      <c r="B1289" s="18" t="s">
        <v>25</v>
      </c>
      <c r="C1289" s="19">
        <f>40674+(3*365)</f>
        <v>41769</v>
      </c>
      <c r="D1289" s="18" t="s">
        <v>78</v>
      </c>
      <c r="E1289" s="18" t="s">
        <v>63</v>
      </c>
      <c r="F1289" s="21">
        <v>720</v>
      </c>
    </row>
    <row r="1290" spans="2:6" x14ac:dyDescent="0.25">
      <c r="B1290" s="18" t="s">
        <v>18</v>
      </c>
      <c r="C1290" s="19">
        <f>39847+(3*365)</f>
        <v>40942</v>
      </c>
      <c r="D1290" s="18" t="s">
        <v>71</v>
      </c>
      <c r="E1290" s="18" t="s">
        <v>61</v>
      </c>
      <c r="F1290" s="21">
        <v>420</v>
      </c>
    </row>
    <row r="1291" spans="2:6" x14ac:dyDescent="0.25">
      <c r="B1291" s="18" t="s">
        <v>21</v>
      </c>
      <c r="C1291" s="19">
        <f>40578+(3*365)</f>
        <v>41673</v>
      </c>
      <c r="D1291" s="18" t="s">
        <v>58</v>
      </c>
      <c r="E1291" s="18" t="s">
        <v>64</v>
      </c>
      <c r="F1291" s="21">
        <v>4656</v>
      </c>
    </row>
    <row r="1292" spans="2:6" x14ac:dyDescent="0.25">
      <c r="B1292" s="18" t="s">
        <v>9</v>
      </c>
      <c r="C1292" s="19">
        <f>40666+(3*365)</f>
        <v>41761</v>
      </c>
      <c r="D1292" s="18" t="s">
        <v>80</v>
      </c>
      <c r="E1292" s="18" t="s">
        <v>66</v>
      </c>
      <c r="F1292" s="21">
        <v>594</v>
      </c>
    </row>
    <row r="1293" spans="2:6" x14ac:dyDescent="0.25">
      <c r="B1293" s="18" t="s">
        <v>21</v>
      </c>
      <c r="C1293" s="19">
        <f>39947+(3*365)</f>
        <v>41042</v>
      </c>
      <c r="D1293" s="18" t="s">
        <v>73</v>
      </c>
      <c r="E1293" s="18" t="s">
        <v>61</v>
      </c>
      <c r="F1293" s="21">
        <v>48</v>
      </c>
    </row>
    <row r="1294" spans="2:6" x14ac:dyDescent="0.25">
      <c r="B1294" s="18" t="s">
        <v>18</v>
      </c>
      <c r="C1294" s="19">
        <f>40024+(3*365)</f>
        <v>41119</v>
      </c>
      <c r="D1294" s="18" t="s">
        <v>71</v>
      </c>
      <c r="E1294" s="18" t="s">
        <v>72</v>
      </c>
      <c r="F1294" s="21">
        <v>372</v>
      </c>
    </row>
    <row r="1295" spans="2:6" x14ac:dyDescent="0.25">
      <c r="B1295" s="18" t="s">
        <v>31</v>
      </c>
      <c r="C1295" s="19">
        <f>40405+(3*365)</f>
        <v>41500</v>
      </c>
      <c r="D1295" s="18" t="s">
        <v>70</v>
      </c>
      <c r="E1295" s="18" t="s">
        <v>69</v>
      </c>
      <c r="F1295" s="21">
        <v>2286</v>
      </c>
    </row>
    <row r="1296" spans="2:6" x14ac:dyDescent="0.25">
      <c r="B1296" s="18" t="s">
        <v>21</v>
      </c>
      <c r="C1296" s="19">
        <f>40156+(3*365)</f>
        <v>41251</v>
      </c>
      <c r="D1296" s="18" t="s">
        <v>73</v>
      </c>
      <c r="E1296" s="18" t="s">
        <v>72</v>
      </c>
      <c r="F1296" s="21">
        <v>208</v>
      </c>
    </row>
    <row r="1297" spans="2:6" x14ac:dyDescent="0.25">
      <c r="B1297" s="18" t="s">
        <v>31</v>
      </c>
      <c r="C1297" s="19">
        <f>39874+(3*365)</f>
        <v>40969</v>
      </c>
      <c r="D1297" s="18" t="s">
        <v>76</v>
      </c>
      <c r="E1297" s="18" t="s">
        <v>69</v>
      </c>
      <c r="F1297" s="21">
        <v>654</v>
      </c>
    </row>
    <row r="1298" spans="2:6" x14ac:dyDescent="0.25">
      <c r="B1298" s="18" t="s">
        <v>31</v>
      </c>
      <c r="C1298" s="19">
        <f>41009+(3*365)</f>
        <v>42104</v>
      </c>
      <c r="D1298" s="18" t="s">
        <v>70</v>
      </c>
      <c r="E1298" s="18" t="s">
        <v>64</v>
      </c>
      <c r="F1298" s="21">
        <v>13356</v>
      </c>
    </row>
    <row r="1299" spans="2:6" x14ac:dyDescent="0.25">
      <c r="B1299" s="18" t="s">
        <v>21</v>
      </c>
      <c r="C1299" s="19">
        <f>40022+(3*365)</f>
        <v>41117</v>
      </c>
      <c r="D1299" s="18" t="s">
        <v>58</v>
      </c>
      <c r="E1299" s="18" t="s">
        <v>63</v>
      </c>
      <c r="F1299" s="21">
        <v>243</v>
      </c>
    </row>
    <row r="1300" spans="2:6" x14ac:dyDescent="0.25">
      <c r="B1300" s="18" t="s">
        <v>11</v>
      </c>
      <c r="C1300" s="19">
        <f>40797+(3*365)</f>
        <v>41892</v>
      </c>
      <c r="D1300" s="18" t="s">
        <v>74</v>
      </c>
      <c r="E1300" s="18" t="s">
        <v>63</v>
      </c>
      <c r="F1300" s="21">
        <v>1218</v>
      </c>
    </row>
    <row r="1301" spans="2:6" x14ac:dyDescent="0.25">
      <c r="B1301" s="18" t="s">
        <v>25</v>
      </c>
      <c r="C1301" s="19">
        <f>40687+(3*365)</f>
        <v>41782</v>
      </c>
      <c r="D1301" s="18" t="s">
        <v>78</v>
      </c>
      <c r="E1301" s="18" t="s">
        <v>59</v>
      </c>
      <c r="F1301" s="21">
        <v>616</v>
      </c>
    </row>
    <row r="1302" spans="2:6" x14ac:dyDescent="0.25">
      <c r="B1302" s="18" t="s">
        <v>25</v>
      </c>
      <c r="C1302" s="19">
        <f>41027+(3*365)</f>
        <v>42122</v>
      </c>
      <c r="D1302" s="18" t="s">
        <v>78</v>
      </c>
      <c r="E1302" s="18" t="s">
        <v>59</v>
      </c>
      <c r="F1302" s="21">
        <v>70</v>
      </c>
    </row>
    <row r="1303" spans="2:6" x14ac:dyDescent="0.25">
      <c r="B1303" s="18" t="s">
        <v>11</v>
      </c>
      <c r="C1303" s="19">
        <f>40658+(3*365)</f>
        <v>41753</v>
      </c>
      <c r="D1303" s="18" t="s">
        <v>74</v>
      </c>
      <c r="E1303" s="18" t="s">
        <v>72</v>
      </c>
      <c r="F1303" s="21">
        <v>1737</v>
      </c>
    </row>
    <row r="1304" spans="2:6" x14ac:dyDescent="0.25">
      <c r="B1304" s="18" t="s">
        <v>9</v>
      </c>
      <c r="C1304" s="19">
        <f>41190+(3*365)</f>
        <v>42285</v>
      </c>
      <c r="D1304" s="18" t="s">
        <v>62</v>
      </c>
      <c r="E1304" s="18" t="s">
        <v>75</v>
      </c>
      <c r="F1304" s="21">
        <v>75</v>
      </c>
    </row>
    <row r="1305" spans="2:6" x14ac:dyDescent="0.25">
      <c r="B1305" s="18" t="s">
        <v>10</v>
      </c>
      <c r="C1305" s="19">
        <f>40790+(3*365)</f>
        <v>41885</v>
      </c>
      <c r="D1305" s="18" t="s">
        <v>67</v>
      </c>
      <c r="E1305" s="18" t="s">
        <v>66</v>
      </c>
      <c r="F1305" s="21">
        <v>504</v>
      </c>
    </row>
    <row r="1306" spans="2:6" x14ac:dyDescent="0.25">
      <c r="B1306" s="18" t="s">
        <v>11</v>
      </c>
      <c r="C1306" s="19">
        <f>40713+(3*365)</f>
        <v>41808</v>
      </c>
      <c r="D1306" s="18" t="s">
        <v>60</v>
      </c>
      <c r="E1306" s="18" t="s">
        <v>72</v>
      </c>
      <c r="F1306" s="21">
        <v>1200</v>
      </c>
    </row>
    <row r="1307" spans="2:6" x14ac:dyDescent="0.25">
      <c r="B1307" s="18" t="s">
        <v>10</v>
      </c>
      <c r="C1307" s="19">
        <f>39940+(3*365)</f>
        <v>41035</v>
      </c>
      <c r="D1307" s="18" t="s">
        <v>67</v>
      </c>
      <c r="E1307" s="18" t="s">
        <v>63</v>
      </c>
      <c r="F1307" s="21">
        <v>464</v>
      </c>
    </row>
    <row r="1308" spans="2:6" x14ac:dyDescent="0.25">
      <c r="B1308" s="18" t="s">
        <v>8</v>
      </c>
      <c r="C1308" s="19">
        <f>41237+(3*365)</f>
        <v>42332</v>
      </c>
      <c r="D1308" s="18" t="s">
        <v>81</v>
      </c>
      <c r="E1308" s="18" t="s">
        <v>66</v>
      </c>
      <c r="F1308" s="21">
        <v>640</v>
      </c>
    </row>
    <row r="1309" spans="2:6" x14ac:dyDescent="0.25">
      <c r="B1309" s="18" t="s">
        <v>11</v>
      </c>
      <c r="C1309" s="19">
        <f>40697+(3*365)</f>
        <v>41792</v>
      </c>
      <c r="D1309" s="18" t="s">
        <v>60</v>
      </c>
      <c r="E1309" s="18" t="s">
        <v>66</v>
      </c>
      <c r="F1309" s="21">
        <v>156</v>
      </c>
    </row>
    <row r="1310" spans="2:6" x14ac:dyDescent="0.25">
      <c r="B1310" s="18" t="s">
        <v>8</v>
      </c>
      <c r="C1310" s="19">
        <f>41179+(3*365)</f>
        <v>42274</v>
      </c>
      <c r="D1310" s="18" t="s">
        <v>81</v>
      </c>
      <c r="E1310" s="18" t="s">
        <v>64</v>
      </c>
      <c r="F1310" s="21">
        <v>6368</v>
      </c>
    </row>
    <row r="1311" spans="2:6" x14ac:dyDescent="0.25">
      <c r="B1311" s="18" t="s">
        <v>8</v>
      </c>
      <c r="C1311" s="19">
        <f>40728+(3*365)</f>
        <v>41823</v>
      </c>
      <c r="D1311" s="18" t="s">
        <v>77</v>
      </c>
      <c r="E1311" s="18" t="s">
        <v>69</v>
      </c>
      <c r="F1311" s="21">
        <v>1400</v>
      </c>
    </row>
    <row r="1312" spans="2:6" x14ac:dyDescent="0.25">
      <c r="B1312" s="18" t="s">
        <v>10</v>
      </c>
      <c r="C1312" s="19">
        <f>41146+(3*365)</f>
        <v>42241</v>
      </c>
      <c r="D1312" s="18" t="s">
        <v>65</v>
      </c>
      <c r="E1312" s="18" t="s">
        <v>59</v>
      </c>
      <c r="F1312" s="21">
        <v>288</v>
      </c>
    </row>
    <row r="1313" spans="2:6" x14ac:dyDescent="0.25">
      <c r="B1313" s="18" t="s">
        <v>8</v>
      </c>
      <c r="C1313" s="19">
        <f>40316+(3*365)</f>
        <v>41411</v>
      </c>
      <c r="D1313" s="18" t="s">
        <v>77</v>
      </c>
      <c r="E1313" s="18" t="s">
        <v>72</v>
      </c>
      <c r="F1313" s="21">
        <v>1120</v>
      </c>
    </row>
    <row r="1314" spans="2:6" x14ac:dyDescent="0.25">
      <c r="B1314" s="18" t="s">
        <v>31</v>
      </c>
      <c r="C1314" s="19">
        <f>40598+(3*365)</f>
        <v>41693</v>
      </c>
      <c r="D1314" s="18" t="s">
        <v>70</v>
      </c>
      <c r="E1314" s="18" t="s">
        <v>72</v>
      </c>
      <c r="F1314" s="21">
        <v>1944</v>
      </c>
    </row>
    <row r="1315" spans="2:6" x14ac:dyDescent="0.25">
      <c r="B1315" s="18" t="s">
        <v>8</v>
      </c>
      <c r="C1315" s="19">
        <f>40074+(3*365)</f>
        <v>41169</v>
      </c>
      <c r="D1315" s="18" t="s">
        <v>81</v>
      </c>
      <c r="E1315" s="18" t="s">
        <v>75</v>
      </c>
      <c r="F1315" s="21">
        <v>462</v>
      </c>
    </row>
    <row r="1316" spans="2:6" x14ac:dyDescent="0.25">
      <c r="B1316" s="18" t="s">
        <v>31</v>
      </c>
      <c r="C1316" s="19">
        <f>40365+(3*365)</f>
        <v>41460</v>
      </c>
      <c r="D1316" s="18" t="s">
        <v>70</v>
      </c>
      <c r="E1316" s="18" t="s">
        <v>66</v>
      </c>
      <c r="F1316" s="21">
        <v>777</v>
      </c>
    </row>
    <row r="1317" spans="2:6" x14ac:dyDescent="0.25">
      <c r="B1317" s="18" t="s">
        <v>8</v>
      </c>
      <c r="C1317" s="19">
        <f>41260+(3*365)</f>
        <v>42355</v>
      </c>
      <c r="D1317" s="18" t="s">
        <v>81</v>
      </c>
      <c r="E1317" s="18" t="s">
        <v>64</v>
      </c>
      <c r="F1317" s="21">
        <v>10388</v>
      </c>
    </row>
    <row r="1318" spans="2:6" x14ac:dyDescent="0.25">
      <c r="B1318" s="18" t="s">
        <v>31</v>
      </c>
      <c r="C1318" s="19">
        <f>40333+(3*365)</f>
        <v>41428</v>
      </c>
      <c r="D1318" s="18" t="s">
        <v>76</v>
      </c>
      <c r="E1318" s="18" t="s">
        <v>66</v>
      </c>
      <c r="F1318" s="21">
        <v>1239</v>
      </c>
    </row>
    <row r="1319" spans="2:6" x14ac:dyDescent="0.25">
      <c r="B1319" s="18" t="s">
        <v>11</v>
      </c>
      <c r="C1319" s="19">
        <f>40365+(3*365)</f>
        <v>41460</v>
      </c>
      <c r="D1319" s="18" t="s">
        <v>60</v>
      </c>
      <c r="E1319" s="18" t="s">
        <v>59</v>
      </c>
      <c r="F1319" s="21">
        <v>735</v>
      </c>
    </row>
    <row r="1320" spans="2:6" x14ac:dyDescent="0.25">
      <c r="B1320" s="18" t="s">
        <v>11</v>
      </c>
      <c r="C1320" s="19">
        <f>40499+(3*365)</f>
        <v>41594</v>
      </c>
      <c r="D1320" s="18" t="s">
        <v>74</v>
      </c>
      <c r="E1320" s="18" t="s">
        <v>69</v>
      </c>
      <c r="F1320" s="21">
        <v>282</v>
      </c>
    </row>
    <row r="1321" spans="2:6" x14ac:dyDescent="0.25">
      <c r="B1321" s="18" t="s">
        <v>10</v>
      </c>
      <c r="C1321" s="19">
        <f>40563+(3*365)</f>
        <v>41658</v>
      </c>
      <c r="D1321" s="18" t="s">
        <v>65</v>
      </c>
      <c r="E1321" s="18" t="s">
        <v>63</v>
      </c>
      <c r="F1321" s="21">
        <v>258</v>
      </c>
    </row>
    <row r="1322" spans="2:6" x14ac:dyDescent="0.25">
      <c r="B1322" s="18" t="s">
        <v>11</v>
      </c>
      <c r="C1322" s="19">
        <f>40079+(3*365)</f>
        <v>41174</v>
      </c>
      <c r="D1322" s="18" t="s">
        <v>60</v>
      </c>
      <c r="E1322" s="18" t="s">
        <v>66</v>
      </c>
      <c r="F1322" s="21">
        <v>1494</v>
      </c>
    </row>
    <row r="1323" spans="2:6" x14ac:dyDescent="0.25">
      <c r="B1323" s="18" t="s">
        <v>31</v>
      </c>
      <c r="C1323" s="19">
        <f>40663+(3*365)</f>
        <v>41758</v>
      </c>
      <c r="D1323" s="18" t="s">
        <v>76</v>
      </c>
      <c r="E1323" s="18" t="s">
        <v>75</v>
      </c>
      <c r="F1323" s="21">
        <v>945</v>
      </c>
    </row>
    <row r="1324" spans="2:6" x14ac:dyDescent="0.25">
      <c r="B1324" s="18" t="s">
        <v>10</v>
      </c>
      <c r="C1324" s="19">
        <f>40054+(3*365)</f>
        <v>41149</v>
      </c>
      <c r="D1324" s="18" t="s">
        <v>65</v>
      </c>
      <c r="E1324" s="18" t="s">
        <v>59</v>
      </c>
      <c r="F1324" s="21">
        <v>576</v>
      </c>
    </row>
    <row r="1325" spans="2:6" x14ac:dyDescent="0.25">
      <c r="B1325" s="18" t="s">
        <v>18</v>
      </c>
      <c r="C1325" s="19">
        <f>40134+(3*365)</f>
        <v>41229</v>
      </c>
      <c r="D1325" s="18" t="s">
        <v>68</v>
      </c>
      <c r="E1325" s="18" t="s">
        <v>59</v>
      </c>
      <c r="F1325" s="21">
        <v>208</v>
      </c>
    </row>
    <row r="1326" spans="2:6" x14ac:dyDescent="0.25">
      <c r="B1326" s="18" t="s">
        <v>31</v>
      </c>
      <c r="C1326" s="19">
        <f>40539+(3*365)</f>
        <v>41634</v>
      </c>
      <c r="D1326" s="18" t="s">
        <v>76</v>
      </c>
      <c r="E1326" s="18" t="s">
        <v>66</v>
      </c>
      <c r="F1326" s="21">
        <v>102</v>
      </c>
    </row>
    <row r="1327" spans="2:6" x14ac:dyDescent="0.25">
      <c r="B1327" s="18" t="s">
        <v>21</v>
      </c>
      <c r="C1327" s="19">
        <f>41259+(3*365)</f>
        <v>42354</v>
      </c>
      <c r="D1327" s="18" t="s">
        <v>58</v>
      </c>
      <c r="E1327" s="18" t="s">
        <v>72</v>
      </c>
      <c r="F1327" s="21">
        <v>5800</v>
      </c>
    </row>
    <row r="1328" spans="2:6" x14ac:dyDescent="0.25">
      <c r="B1328" s="18" t="s">
        <v>21</v>
      </c>
      <c r="C1328" s="19">
        <f>40222+(3*365)</f>
        <v>41317</v>
      </c>
      <c r="D1328" s="18" t="s">
        <v>58</v>
      </c>
      <c r="E1328" s="18" t="s">
        <v>63</v>
      </c>
      <c r="F1328" s="21">
        <v>650</v>
      </c>
    </row>
    <row r="1329" spans="2:6" x14ac:dyDescent="0.25">
      <c r="B1329" s="18" t="s">
        <v>10</v>
      </c>
      <c r="C1329" s="19">
        <f>40684+(3*365)</f>
        <v>41779</v>
      </c>
      <c r="D1329" s="18" t="s">
        <v>65</v>
      </c>
      <c r="E1329" s="18" t="s">
        <v>75</v>
      </c>
      <c r="F1329" s="21">
        <v>240</v>
      </c>
    </row>
    <row r="1330" spans="2:6" x14ac:dyDescent="0.25">
      <c r="B1330" s="18" t="s">
        <v>8</v>
      </c>
      <c r="C1330" s="19">
        <f>40581+(3*365)</f>
        <v>41676</v>
      </c>
      <c r="D1330" s="18" t="s">
        <v>81</v>
      </c>
      <c r="E1330" s="18" t="s">
        <v>59</v>
      </c>
      <c r="F1330" s="21">
        <v>416</v>
      </c>
    </row>
    <row r="1331" spans="2:6" x14ac:dyDescent="0.25">
      <c r="B1331" s="18" t="s">
        <v>18</v>
      </c>
      <c r="C1331" s="19">
        <f>40893+(3*365)</f>
        <v>41988</v>
      </c>
      <c r="D1331" s="18" t="s">
        <v>68</v>
      </c>
      <c r="E1331" s="18" t="s">
        <v>66</v>
      </c>
      <c r="F1331" s="21">
        <v>1392</v>
      </c>
    </row>
    <row r="1332" spans="2:6" x14ac:dyDescent="0.25">
      <c r="B1332" s="18" t="s">
        <v>21</v>
      </c>
      <c r="C1332" s="19">
        <f>40608+(3*365)</f>
        <v>41703</v>
      </c>
      <c r="D1332" s="18" t="s">
        <v>58</v>
      </c>
      <c r="E1332" s="18" t="s">
        <v>69</v>
      </c>
      <c r="F1332" s="21">
        <v>549</v>
      </c>
    </row>
    <row r="1333" spans="2:6" x14ac:dyDescent="0.25">
      <c r="B1333" s="18" t="s">
        <v>8</v>
      </c>
      <c r="C1333" s="19">
        <f>40482+(3*365)</f>
        <v>41577</v>
      </c>
      <c r="D1333" s="18" t="s">
        <v>81</v>
      </c>
      <c r="E1333" s="18" t="s">
        <v>64</v>
      </c>
      <c r="F1333" s="21">
        <v>20736</v>
      </c>
    </row>
    <row r="1334" spans="2:6" x14ac:dyDescent="0.25">
      <c r="B1334" s="18" t="s">
        <v>11</v>
      </c>
      <c r="C1334" s="19">
        <f>39872+(3*365)</f>
        <v>40967</v>
      </c>
      <c r="D1334" s="18" t="s">
        <v>74</v>
      </c>
      <c r="E1334" s="18" t="s">
        <v>69</v>
      </c>
      <c r="F1334" s="21">
        <v>4392</v>
      </c>
    </row>
    <row r="1335" spans="2:6" x14ac:dyDescent="0.25">
      <c r="B1335" s="18" t="s">
        <v>9</v>
      </c>
      <c r="C1335" s="19">
        <f>40400+(3*365)</f>
        <v>41495</v>
      </c>
      <c r="D1335" s="18" t="s">
        <v>80</v>
      </c>
      <c r="E1335" s="18" t="s">
        <v>64</v>
      </c>
      <c r="F1335" s="21">
        <v>4464</v>
      </c>
    </row>
    <row r="1336" spans="2:6" x14ac:dyDescent="0.25">
      <c r="B1336" s="18" t="s">
        <v>10</v>
      </c>
      <c r="C1336" s="19">
        <f>41263+(3*365)</f>
        <v>42358</v>
      </c>
      <c r="D1336" s="18" t="s">
        <v>67</v>
      </c>
      <c r="E1336" s="18" t="s">
        <v>63</v>
      </c>
      <c r="F1336" s="21">
        <v>603</v>
      </c>
    </row>
    <row r="1337" spans="2:6" x14ac:dyDescent="0.25">
      <c r="B1337" s="18" t="s">
        <v>18</v>
      </c>
      <c r="C1337" s="19">
        <f>41074+(3*365)</f>
        <v>42169</v>
      </c>
      <c r="D1337" s="18" t="s">
        <v>71</v>
      </c>
      <c r="E1337" s="18" t="s">
        <v>66</v>
      </c>
      <c r="F1337" s="21">
        <v>972</v>
      </c>
    </row>
    <row r="1338" spans="2:6" x14ac:dyDescent="0.25">
      <c r="B1338" s="18" t="s">
        <v>9</v>
      </c>
      <c r="C1338" s="19">
        <f>39924+(3*365)</f>
        <v>41019</v>
      </c>
      <c r="D1338" s="18" t="s">
        <v>62</v>
      </c>
      <c r="E1338" s="18" t="s">
        <v>66</v>
      </c>
      <c r="F1338" s="21">
        <v>810</v>
      </c>
    </row>
    <row r="1339" spans="2:6" x14ac:dyDescent="0.25">
      <c r="B1339" s="18" t="s">
        <v>21</v>
      </c>
      <c r="C1339" s="19">
        <f>40170+(3*365)</f>
        <v>41265</v>
      </c>
      <c r="D1339" s="18" t="s">
        <v>58</v>
      </c>
      <c r="E1339" s="18" t="s">
        <v>59</v>
      </c>
      <c r="F1339" s="21">
        <v>182</v>
      </c>
    </row>
    <row r="1340" spans="2:6" x14ac:dyDescent="0.25">
      <c r="B1340" s="18" t="s">
        <v>10</v>
      </c>
      <c r="C1340" s="19">
        <f>41085+(3*365)</f>
        <v>42180</v>
      </c>
      <c r="D1340" s="18" t="s">
        <v>65</v>
      </c>
      <c r="E1340" s="18" t="s">
        <v>66</v>
      </c>
      <c r="F1340" s="21">
        <v>456</v>
      </c>
    </row>
    <row r="1341" spans="2:6" x14ac:dyDescent="0.25">
      <c r="B1341" s="18" t="s">
        <v>11</v>
      </c>
      <c r="C1341" s="19">
        <f>40838+(3*365)</f>
        <v>41933</v>
      </c>
      <c r="D1341" s="18" t="s">
        <v>60</v>
      </c>
      <c r="E1341" s="18" t="s">
        <v>63</v>
      </c>
      <c r="F1341" s="21">
        <v>1071</v>
      </c>
    </row>
    <row r="1342" spans="2:6" x14ac:dyDescent="0.25">
      <c r="B1342" s="18" t="s">
        <v>21</v>
      </c>
      <c r="C1342" s="19">
        <f>40052+(3*365)</f>
        <v>41147</v>
      </c>
      <c r="D1342" s="18" t="s">
        <v>73</v>
      </c>
      <c r="E1342" s="18" t="s">
        <v>66</v>
      </c>
      <c r="F1342" s="21">
        <v>212</v>
      </c>
    </row>
    <row r="1343" spans="2:6" x14ac:dyDescent="0.25">
      <c r="B1343" s="18" t="s">
        <v>18</v>
      </c>
      <c r="C1343" s="19">
        <f>39930+(3*365)</f>
        <v>41025</v>
      </c>
      <c r="D1343" s="18" t="s">
        <v>68</v>
      </c>
      <c r="E1343" s="18" t="s">
        <v>75</v>
      </c>
      <c r="F1343" s="21">
        <v>372</v>
      </c>
    </row>
    <row r="1344" spans="2:6" x14ac:dyDescent="0.25">
      <c r="B1344" s="18" t="s">
        <v>31</v>
      </c>
      <c r="C1344" s="19">
        <f>40566+(3*365)</f>
        <v>41661</v>
      </c>
      <c r="D1344" s="18" t="s">
        <v>76</v>
      </c>
      <c r="E1344" s="18" t="s">
        <v>64</v>
      </c>
      <c r="F1344" s="21">
        <v>15687</v>
      </c>
    </row>
    <row r="1345" spans="2:6" x14ac:dyDescent="0.25">
      <c r="B1345" s="18" t="s">
        <v>8</v>
      </c>
      <c r="C1345" s="19">
        <f>39973+(3*365)</f>
        <v>41068</v>
      </c>
      <c r="D1345" s="18" t="s">
        <v>77</v>
      </c>
      <c r="E1345" s="18" t="s">
        <v>63</v>
      </c>
      <c r="F1345" s="21">
        <v>480</v>
      </c>
    </row>
    <row r="1346" spans="2:6" x14ac:dyDescent="0.25">
      <c r="B1346" s="18" t="s">
        <v>9</v>
      </c>
      <c r="C1346" s="19">
        <f>41010+(3*365)</f>
        <v>42105</v>
      </c>
      <c r="D1346" s="18" t="s">
        <v>62</v>
      </c>
      <c r="E1346" s="18" t="s">
        <v>69</v>
      </c>
      <c r="F1346" s="21">
        <v>113</v>
      </c>
    </row>
    <row r="1347" spans="2:6" x14ac:dyDescent="0.25">
      <c r="B1347" s="18" t="s">
        <v>25</v>
      </c>
      <c r="C1347" s="19">
        <f>40516+(3*365)</f>
        <v>41611</v>
      </c>
      <c r="D1347" s="18" t="s">
        <v>79</v>
      </c>
      <c r="E1347" s="18" t="s">
        <v>69</v>
      </c>
      <c r="F1347" s="21">
        <v>2772</v>
      </c>
    </row>
    <row r="1348" spans="2:6" x14ac:dyDescent="0.25">
      <c r="B1348" s="18" t="s">
        <v>10</v>
      </c>
      <c r="C1348" s="19">
        <f>41254+(3*365)</f>
        <v>42349</v>
      </c>
      <c r="D1348" s="18" t="s">
        <v>67</v>
      </c>
      <c r="E1348" s="18" t="s">
        <v>64</v>
      </c>
      <c r="F1348" s="21">
        <v>7686</v>
      </c>
    </row>
    <row r="1349" spans="2:6" x14ac:dyDescent="0.25">
      <c r="B1349" s="18" t="s">
        <v>25</v>
      </c>
      <c r="C1349" s="19">
        <f>41260+(3*365)</f>
        <v>42355</v>
      </c>
      <c r="D1349" s="18" t="s">
        <v>78</v>
      </c>
      <c r="E1349" s="18" t="s">
        <v>66</v>
      </c>
      <c r="F1349" s="21">
        <v>324</v>
      </c>
    </row>
    <row r="1350" spans="2:6" x14ac:dyDescent="0.25">
      <c r="B1350" s="18" t="s">
        <v>8</v>
      </c>
      <c r="C1350" s="19">
        <f>40248+(3*365)</f>
        <v>41343</v>
      </c>
      <c r="D1350" s="18" t="s">
        <v>77</v>
      </c>
      <c r="E1350" s="18" t="s">
        <v>66</v>
      </c>
      <c r="F1350" s="21">
        <v>1044</v>
      </c>
    </row>
    <row r="1351" spans="2:6" x14ac:dyDescent="0.25">
      <c r="B1351" s="18" t="s">
        <v>18</v>
      </c>
      <c r="C1351" s="19">
        <f>40726+(3*365)</f>
        <v>41821</v>
      </c>
      <c r="D1351" s="18" t="s">
        <v>71</v>
      </c>
      <c r="E1351" s="18" t="s">
        <v>59</v>
      </c>
      <c r="F1351" s="21">
        <v>672</v>
      </c>
    </row>
    <row r="1352" spans="2:6" x14ac:dyDescent="0.25">
      <c r="B1352" s="18" t="s">
        <v>21</v>
      </c>
      <c r="C1352" s="19">
        <f>40780+(3*365)</f>
        <v>41875</v>
      </c>
      <c r="D1352" s="18" t="s">
        <v>58</v>
      </c>
      <c r="E1352" s="18" t="s">
        <v>64</v>
      </c>
      <c r="F1352" s="21">
        <v>8520</v>
      </c>
    </row>
    <row r="1353" spans="2:6" x14ac:dyDescent="0.25">
      <c r="B1353" s="18" t="s">
        <v>11</v>
      </c>
      <c r="C1353" s="19">
        <f>41188+(3*365)</f>
        <v>42283</v>
      </c>
      <c r="D1353" s="18" t="s">
        <v>60</v>
      </c>
      <c r="E1353" s="18" t="s">
        <v>75</v>
      </c>
      <c r="F1353" s="21">
        <v>600</v>
      </c>
    </row>
    <row r="1354" spans="2:6" x14ac:dyDescent="0.25">
      <c r="B1354" s="18" t="s">
        <v>10</v>
      </c>
      <c r="C1354" s="19">
        <f>39843+(3*365)</f>
        <v>40938</v>
      </c>
      <c r="D1354" s="18" t="s">
        <v>65</v>
      </c>
      <c r="E1354" s="18" t="s">
        <v>61</v>
      </c>
      <c r="F1354" s="21">
        <v>900</v>
      </c>
    </row>
    <row r="1355" spans="2:6" x14ac:dyDescent="0.25">
      <c r="B1355" s="18" t="s">
        <v>21</v>
      </c>
      <c r="C1355" s="19">
        <f>40953+(3*365)</f>
        <v>42048</v>
      </c>
      <c r="D1355" s="18" t="s">
        <v>73</v>
      </c>
      <c r="E1355" s="18" t="s">
        <v>61</v>
      </c>
      <c r="F1355" s="21">
        <v>1316</v>
      </c>
    </row>
    <row r="1356" spans="2:6" x14ac:dyDescent="0.25">
      <c r="B1356" s="18" t="s">
        <v>31</v>
      </c>
      <c r="C1356" s="19">
        <f>41023+(3*365)</f>
        <v>42118</v>
      </c>
      <c r="D1356" s="18" t="s">
        <v>76</v>
      </c>
      <c r="E1356" s="18" t="s">
        <v>69</v>
      </c>
      <c r="F1356" s="21">
        <v>1449</v>
      </c>
    </row>
    <row r="1357" spans="2:6" x14ac:dyDescent="0.25">
      <c r="B1357" s="18" t="s">
        <v>10</v>
      </c>
      <c r="C1357" s="19">
        <f>39878+(3*365)</f>
        <v>40973</v>
      </c>
      <c r="D1357" s="18" t="s">
        <v>67</v>
      </c>
      <c r="E1357" s="18" t="s">
        <v>69</v>
      </c>
      <c r="F1357" s="21">
        <v>1716</v>
      </c>
    </row>
    <row r="1358" spans="2:6" x14ac:dyDescent="0.25">
      <c r="B1358" s="18" t="s">
        <v>10</v>
      </c>
      <c r="C1358" s="19">
        <f>41122+(3*365)</f>
        <v>42217</v>
      </c>
      <c r="D1358" s="18" t="s">
        <v>65</v>
      </c>
      <c r="E1358" s="18" t="s">
        <v>66</v>
      </c>
      <c r="F1358" s="21">
        <v>735</v>
      </c>
    </row>
    <row r="1359" spans="2:6" x14ac:dyDescent="0.25">
      <c r="B1359" s="18" t="s">
        <v>21</v>
      </c>
      <c r="C1359" s="19">
        <f>40318+(3*365)</f>
        <v>41413</v>
      </c>
      <c r="D1359" s="18" t="s">
        <v>58</v>
      </c>
      <c r="E1359" s="18" t="s">
        <v>59</v>
      </c>
      <c r="F1359" s="21">
        <v>100</v>
      </c>
    </row>
    <row r="1360" spans="2:6" x14ac:dyDescent="0.25">
      <c r="B1360" s="18" t="s">
        <v>25</v>
      </c>
      <c r="C1360" s="19">
        <f>41012+(3*365)</f>
        <v>42107</v>
      </c>
      <c r="D1360" s="18" t="s">
        <v>78</v>
      </c>
      <c r="E1360" s="18" t="s">
        <v>69</v>
      </c>
      <c r="F1360" s="21">
        <v>118</v>
      </c>
    </row>
    <row r="1361" spans="2:6" x14ac:dyDescent="0.25">
      <c r="B1361" s="18" t="s">
        <v>8</v>
      </c>
      <c r="C1361" s="19">
        <f>40869+(3*365)</f>
        <v>41964</v>
      </c>
      <c r="D1361" s="18" t="s">
        <v>81</v>
      </c>
      <c r="E1361" s="18" t="s">
        <v>64</v>
      </c>
      <c r="F1361" s="21">
        <v>11184</v>
      </c>
    </row>
    <row r="1362" spans="2:6" x14ac:dyDescent="0.25">
      <c r="B1362" s="18" t="s">
        <v>9</v>
      </c>
      <c r="C1362" s="19">
        <f>40698+(3*365)</f>
        <v>41793</v>
      </c>
      <c r="D1362" s="18" t="s">
        <v>62</v>
      </c>
      <c r="E1362" s="18" t="s">
        <v>59</v>
      </c>
      <c r="F1362" s="21">
        <v>81</v>
      </c>
    </row>
    <row r="1363" spans="2:6" x14ac:dyDescent="0.25">
      <c r="B1363" s="18" t="s">
        <v>9</v>
      </c>
      <c r="C1363" s="19">
        <f>40694+(3*365)</f>
        <v>41789</v>
      </c>
      <c r="D1363" s="18" t="s">
        <v>62</v>
      </c>
      <c r="E1363" s="18" t="s">
        <v>61</v>
      </c>
      <c r="F1363" s="21">
        <v>900</v>
      </c>
    </row>
    <row r="1364" spans="2:6" x14ac:dyDescent="0.25">
      <c r="B1364" s="18" t="s">
        <v>8</v>
      </c>
      <c r="C1364" s="19">
        <f>41002+(3*365)</f>
        <v>42097</v>
      </c>
      <c r="D1364" s="18" t="s">
        <v>81</v>
      </c>
      <c r="E1364" s="18" t="s">
        <v>72</v>
      </c>
      <c r="F1364" s="21">
        <v>1920</v>
      </c>
    </row>
    <row r="1365" spans="2:6" x14ac:dyDescent="0.25">
      <c r="B1365" s="18" t="s">
        <v>9</v>
      </c>
      <c r="C1365" s="19">
        <f>40609+(3*365)</f>
        <v>41704</v>
      </c>
      <c r="D1365" s="18" t="s">
        <v>62</v>
      </c>
      <c r="E1365" s="18" t="s">
        <v>63</v>
      </c>
      <c r="F1365" s="21">
        <v>840</v>
      </c>
    </row>
    <row r="1366" spans="2:6" x14ac:dyDescent="0.25">
      <c r="B1366" s="18" t="s">
        <v>31</v>
      </c>
      <c r="C1366" s="19">
        <f>40260+(3*365)</f>
        <v>41355</v>
      </c>
      <c r="D1366" s="18" t="s">
        <v>70</v>
      </c>
      <c r="E1366" s="18" t="s">
        <v>66</v>
      </c>
      <c r="F1366" s="21">
        <v>1476</v>
      </c>
    </row>
    <row r="1367" spans="2:6" x14ac:dyDescent="0.25">
      <c r="B1367" s="18" t="s">
        <v>8</v>
      </c>
      <c r="C1367" s="19">
        <f>41052+(3*365)</f>
        <v>42147</v>
      </c>
      <c r="D1367" s="18" t="s">
        <v>77</v>
      </c>
      <c r="E1367" s="18" t="s">
        <v>66</v>
      </c>
      <c r="F1367" s="21">
        <v>700</v>
      </c>
    </row>
    <row r="1368" spans="2:6" x14ac:dyDescent="0.25">
      <c r="B1368" s="18" t="s">
        <v>9</v>
      </c>
      <c r="C1368" s="19">
        <f>40721+(3*365)</f>
        <v>41816</v>
      </c>
      <c r="D1368" s="18" t="s">
        <v>80</v>
      </c>
      <c r="E1368" s="18" t="s">
        <v>61</v>
      </c>
      <c r="F1368" s="21">
        <v>828</v>
      </c>
    </row>
    <row r="1369" spans="2:6" x14ac:dyDescent="0.25">
      <c r="B1369" s="18" t="s">
        <v>31</v>
      </c>
      <c r="C1369" s="19">
        <f>41191+(3*365)</f>
        <v>42286</v>
      </c>
      <c r="D1369" s="18" t="s">
        <v>76</v>
      </c>
      <c r="E1369" s="18" t="s">
        <v>69</v>
      </c>
      <c r="F1369" s="21">
        <v>2016</v>
      </c>
    </row>
    <row r="1370" spans="2:6" x14ac:dyDescent="0.25">
      <c r="B1370" s="18" t="s">
        <v>9</v>
      </c>
      <c r="C1370" s="19">
        <f>40650+(3*365)</f>
        <v>41745</v>
      </c>
      <c r="D1370" s="18" t="s">
        <v>80</v>
      </c>
      <c r="E1370" s="18" t="s">
        <v>63</v>
      </c>
      <c r="F1370" s="21">
        <v>510</v>
      </c>
    </row>
    <row r="1371" spans="2:6" x14ac:dyDescent="0.25">
      <c r="B1371" s="18" t="s">
        <v>18</v>
      </c>
      <c r="C1371" s="19">
        <f>40899+(3*365)</f>
        <v>41994</v>
      </c>
      <c r="D1371" s="18" t="s">
        <v>68</v>
      </c>
      <c r="E1371" s="18" t="s">
        <v>72</v>
      </c>
      <c r="F1371" s="21">
        <v>104</v>
      </c>
    </row>
    <row r="1372" spans="2:6" x14ac:dyDescent="0.25">
      <c r="B1372" s="18" t="s">
        <v>25</v>
      </c>
      <c r="C1372" s="19">
        <f>40810+(3*365)</f>
        <v>41905</v>
      </c>
      <c r="D1372" s="18" t="s">
        <v>79</v>
      </c>
      <c r="E1372" s="18" t="s">
        <v>72</v>
      </c>
      <c r="F1372" s="21">
        <v>3184</v>
      </c>
    </row>
    <row r="1373" spans="2:6" x14ac:dyDescent="0.25">
      <c r="B1373" s="18" t="s">
        <v>31</v>
      </c>
      <c r="C1373" s="19">
        <f>41016+(3*365)</f>
        <v>42111</v>
      </c>
      <c r="D1373" s="18" t="s">
        <v>70</v>
      </c>
      <c r="E1373" s="18" t="s">
        <v>61</v>
      </c>
      <c r="F1373" s="21">
        <v>162</v>
      </c>
    </row>
    <row r="1374" spans="2:6" x14ac:dyDescent="0.25">
      <c r="B1374" s="18" t="s">
        <v>21</v>
      </c>
      <c r="C1374" s="19">
        <f>40050+(3*365)</f>
        <v>41145</v>
      </c>
      <c r="D1374" s="18" t="s">
        <v>73</v>
      </c>
      <c r="E1374" s="18" t="s">
        <v>75</v>
      </c>
      <c r="F1374" s="21">
        <v>138</v>
      </c>
    </row>
    <row r="1375" spans="2:6" x14ac:dyDescent="0.25">
      <c r="B1375" s="18" t="s">
        <v>21</v>
      </c>
      <c r="C1375" s="19">
        <f>40370+(3*365)</f>
        <v>41465</v>
      </c>
      <c r="D1375" s="18" t="s">
        <v>73</v>
      </c>
      <c r="E1375" s="18" t="s">
        <v>61</v>
      </c>
      <c r="F1375" s="21">
        <v>56</v>
      </c>
    </row>
    <row r="1376" spans="2:6" x14ac:dyDescent="0.25">
      <c r="B1376" s="18" t="s">
        <v>31</v>
      </c>
      <c r="C1376" s="19">
        <f>40419+(3*365)</f>
        <v>41514</v>
      </c>
      <c r="D1376" s="18" t="s">
        <v>76</v>
      </c>
      <c r="E1376" s="18" t="s">
        <v>72</v>
      </c>
      <c r="F1376" s="21">
        <v>192</v>
      </c>
    </row>
    <row r="1377" spans="2:6" x14ac:dyDescent="0.25">
      <c r="B1377" s="18" t="s">
        <v>9</v>
      </c>
      <c r="C1377" s="19">
        <f>41190+(3*365)</f>
        <v>42285</v>
      </c>
      <c r="D1377" s="18" t="s">
        <v>80</v>
      </c>
      <c r="E1377" s="18" t="s">
        <v>61</v>
      </c>
      <c r="F1377" s="21">
        <v>203</v>
      </c>
    </row>
    <row r="1378" spans="2:6" x14ac:dyDescent="0.25">
      <c r="B1378" s="18" t="s">
        <v>9</v>
      </c>
      <c r="C1378" s="19">
        <f>41273+(3*365)</f>
        <v>42368</v>
      </c>
      <c r="D1378" s="18" t="s">
        <v>62</v>
      </c>
      <c r="E1378" s="18" t="s">
        <v>64</v>
      </c>
      <c r="F1378" s="21">
        <v>1796</v>
      </c>
    </row>
    <row r="1379" spans="2:6" x14ac:dyDescent="0.25">
      <c r="B1379" s="18" t="s">
        <v>21</v>
      </c>
      <c r="C1379" s="19">
        <f>39966+(3*365)</f>
        <v>41061</v>
      </c>
      <c r="D1379" s="18" t="s">
        <v>73</v>
      </c>
      <c r="E1379" s="18" t="s">
        <v>75</v>
      </c>
      <c r="F1379" s="21">
        <v>203</v>
      </c>
    </row>
    <row r="1380" spans="2:6" x14ac:dyDescent="0.25">
      <c r="B1380" s="18" t="s">
        <v>21</v>
      </c>
      <c r="C1380" s="19">
        <f>39819+(3*365)</f>
        <v>40914</v>
      </c>
      <c r="D1380" s="18" t="s">
        <v>58</v>
      </c>
      <c r="E1380" s="18" t="s">
        <v>69</v>
      </c>
      <c r="F1380" s="21">
        <v>486</v>
      </c>
    </row>
    <row r="1381" spans="2:6" x14ac:dyDescent="0.25">
      <c r="B1381" s="18" t="s">
        <v>31</v>
      </c>
      <c r="C1381" s="19">
        <f>39954+(3*365)</f>
        <v>41049</v>
      </c>
      <c r="D1381" s="18" t="s">
        <v>70</v>
      </c>
      <c r="E1381" s="18" t="s">
        <v>69</v>
      </c>
      <c r="F1381" s="21">
        <v>2076</v>
      </c>
    </row>
    <row r="1382" spans="2:6" x14ac:dyDescent="0.25">
      <c r="B1382" s="18" t="s">
        <v>21</v>
      </c>
      <c r="C1382" s="19">
        <f>41041+(3*365)</f>
        <v>42136</v>
      </c>
      <c r="D1382" s="18" t="s">
        <v>73</v>
      </c>
      <c r="E1382" s="18" t="s">
        <v>59</v>
      </c>
      <c r="F1382" s="21">
        <v>576</v>
      </c>
    </row>
    <row r="1383" spans="2:6" x14ac:dyDescent="0.25">
      <c r="B1383" s="18" t="s">
        <v>10</v>
      </c>
      <c r="C1383" s="19">
        <f>41193+(3*365)</f>
        <v>42288</v>
      </c>
      <c r="D1383" s="18" t="s">
        <v>65</v>
      </c>
      <c r="E1383" s="18" t="s">
        <v>69</v>
      </c>
      <c r="F1383" s="21">
        <v>279</v>
      </c>
    </row>
    <row r="1384" spans="2:6" x14ac:dyDescent="0.25">
      <c r="B1384" s="18" t="s">
        <v>10</v>
      </c>
      <c r="C1384" s="19">
        <f>40239+(3*365)</f>
        <v>41334</v>
      </c>
      <c r="D1384" s="18" t="s">
        <v>67</v>
      </c>
      <c r="E1384" s="18" t="s">
        <v>69</v>
      </c>
      <c r="F1384" s="21">
        <v>1920</v>
      </c>
    </row>
    <row r="1385" spans="2:6" x14ac:dyDescent="0.25">
      <c r="B1385" s="18" t="s">
        <v>9</v>
      </c>
      <c r="C1385" s="19">
        <f>40265+(3*365)</f>
        <v>41360</v>
      </c>
      <c r="D1385" s="18" t="s">
        <v>62</v>
      </c>
      <c r="E1385" s="18" t="s">
        <v>72</v>
      </c>
      <c r="F1385" s="21">
        <v>1028</v>
      </c>
    </row>
    <row r="1386" spans="2:6" x14ac:dyDescent="0.25">
      <c r="B1386" s="18" t="s">
        <v>10</v>
      </c>
      <c r="C1386" s="19">
        <f>41139+(3*365)</f>
        <v>42234</v>
      </c>
      <c r="D1386" s="18" t="s">
        <v>65</v>
      </c>
      <c r="E1386" s="18" t="s">
        <v>61</v>
      </c>
      <c r="F1386" s="21">
        <v>228</v>
      </c>
    </row>
    <row r="1387" spans="2:6" x14ac:dyDescent="0.25">
      <c r="B1387" s="18" t="s">
        <v>18</v>
      </c>
      <c r="C1387" s="19">
        <f>40047+(3*365)</f>
        <v>41142</v>
      </c>
      <c r="D1387" s="18" t="s">
        <v>71</v>
      </c>
      <c r="E1387" s="18" t="s">
        <v>69</v>
      </c>
      <c r="F1387" s="21">
        <v>2124</v>
      </c>
    </row>
    <row r="1388" spans="2:6" x14ac:dyDescent="0.25">
      <c r="B1388" s="18" t="s">
        <v>9</v>
      </c>
      <c r="C1388" s="19">
        <f>40378+(3*365)</f>
        <v>41473</v>
      </c>
      <c r="D1388" s="18" t="s">
        <v>80</v>
      </c>
      <c r="E1388" s="18" t="s">
        <v>61</v>
      </c>
      <c r="F1388" s="21">
        <v>496</v>
      </c>
    </row>
    <row r="1389" spans="2:6" x14ac:dyDescent="0.25">
      <c r="B1389" s="18" t="s">
        <v>10</v>
      </c>
      <c r="C1389" s="19">
        <f>40902+(3*365)</f>
        <v>41997</v>
      </c>
      <c r="D1389" s="18" t="s">
        <v>67</v>
      </c>
      <c r="E1389" s="18" t="s">
        <v>69</v>
      </c>
      <c r="F1389" s="21">
        <v>484</v>
      </c>
    </row>
    <row r="1390" spans="2:6" x14ac:dyDescent="0.25">
      <c r="B1390" s="18" t="s">
        <v>10</v>
      </c>
      <c r="C1390" s="19">
        <f>41096+(3*365)</f>
        <v>42191</v>
      </c>
      <c r="D1390" s="18" t="s">
        <v>67</v>
      </c>
      <c r="E1390" s="18" t="s">
        <v>72</v>
      </c>
      <c r="F1390" s="21">
        <v>270</v>
      </c>
    </row>
    <row r="1391" spans="2:6" x14ac:dyDescent="0.25">
      <c r="B1391" s="18" t="s">
        <v>21</v>
      </c>
      <c r="C1391" s="19">
        <f>40189+(3*365)</f>
        <v>41284</v>
      </c>
      <c r="D1391" s="18" t="s">
        <v>58</v>
      </c>
      <c r="E1391" s="18" t="s">
        <v>59</v>
      </c>
      <c r="F1391" s="21">
        <v>280</v>
      </c>
    </row>
    <row r="1392" spans="2:6" x14ac:dyDescent="0.25">
      <c r="B1392" s="18" t="s">
        <v>9</v>
      </c>
      <c r="C1392" s="19">
        <f>40316+(3*365)</f>
        <v>41411</v>
      </c>
      <c r="D1392" s="18" t="s">
        <v>80</v>
      </c>
      <c r="E1392" s="18" t="s">
        <v>64</v>
      </c>
      <c r="F1392" s="21">
        <v>8816</v>
      </c>
    </row>
    <row r="1393" spans="2:6" x14ac:dyDescent="0.25">
      <c r="B1393" s="18" t="s">
        <v>18</v>
      </c>
      <c r="C1393" s="19">
        <f>40194+(3*365)</f>
        <v>41289</v>
      </c>
      <c r="D1393" s="18" t="s">
        <v>71</v>
      </c>
      <c r="E1393" s="18" t="s">
        <v>66</v>
      </c>
      <c r="F1393" s="21">
        <v>462</v>
      </c>
    </row>
    <row r="1394" spans="2:6" x14ac:dyDescent="0.25">
      <c r="B1394" s="18" t="s">
        <v>21</v>
      </c>
      <c r="C1394" s="19">
        <f>41037+(3*365)</f>
        <v>42132</v>
      </c>
      <c r="D1394" s="18" t="s">
        <v>58</v>
      </c>
      <c r="E1394" s="18" t="s">
        <v>61</v>
      </c>
      <c r="F1394" s="21">
        <v>912</v>
      </c>
    </row>
    <row r="1395" spans="2:6" x14ac:dyDescent="0.25">
      <c r="B1395" s="18" t="s">
        <v>31</v>
      </c>
      <c r="C1395" s="19">
        <f>41131+(3*365)</f>
        <v>42226</v>
      </c>
      <c r="D1395" s="18" t="s">
        <v>70</v>
      </c>
      <c r="E1395" s="18" t="s">
        <v>69</v>
      </c>
      <c r="F1395" s="21">
        <v>1854</v>
      </c>
    </row>
    <row r="1396" spans="2:6" x14ac:dyDescent="0.25">
      <c r="B1396" s="18" t="s">
        <v>18</v>
      </c>
      <c r="C1396" s="19">
        <f>40246+(3*365)</f>
        <v>41341</v>
      </c>
      <c r="D1396" s="18" t="s">
        <v>68</v>
      </c>
      <c r="E1396" s="18" t="s">
        <v>72</v>
      </c>
      <c r="F1396" s="21">
        <v>2856</v>
      </c>
    </row>
    <row r="1397" spans="2:6" x14ac:dyDescent="0.25">
      <c r="B1397" s="18" t="s">
        <v>31</v>
      </c>
      <c r="C1397" s="19">
        <f>40138+(3*365)</f>
        <v>41233</v>
      </c>
      <c r="D1397" s="18" t="s">
        <v>76</v>
      </c>
      <c r="E1397" s="18" t="s">
        <v>64</v>
      </c>
      <c r="F1397" s="21">
        <v>13392</v>
      </c>
    </row>
    <row r="1398" spans="2:6" x14ac:dyDescent="0.25">
      <c r="B1398" s="18" t="s">
        <v>11</v>
      </c>
      <c r="C1398" s="19">
        <f>40297+(3*365)</f>
        <v>41392</v>
      </c>
      <c r="D1398" s="18" t="s">
        <v>74</v>
      </c>
      <c r="E1398" s="18" t="s">
        <v>61</v>
      </c>
      <c r="F1398" s="21">
        <v>1200</v>
      </c>
    </row>
    <row r="1399" spans="2:6" x14ac:dyDescent="0.25">
      <c r="B1399" s="18" t="s">
        <v>18</v>
      </c>
      <c r="C1399" s="19">
        <f>39816+(3*365)</f>
        <v>40911</v>
      </c>
      <c r="D1399" s="18" t="s">
        <v>71</v>
      </c>
      <c r="E1399" s="18" t="s">
        <v>64</v>
      </c>
      <c r="F1399" s="21">
        <v>1076</v>
      </c>
    </row>
    <row r="1400" spans="2:6" x14ac:dyDescent="0.25">
      <c r="B1400" s="18" t="s">
        <v>10</v>
      </c>
      <c r="C1400" s="19">
        <f>40138+(3*365)</f>
        <v>41233</v>
      </c>
      <c r="D1400" s="18" t="s">
        <v>67</v>
      </c>
      <c r="E1400" s="18" t="s">
        <v>75</v>
      </c>
      <c r="F1400" s="21">
        <v>700</v>
      </c>
    </row>
    <row r="1401" spans="2:6" x14ac:dyDescent="0.25">
      <c r="B1401" s="18" t="s">
        <v>25</v>
      </c>
      <c r="C1401" s="19">
        <f>40273+(3*365)</f>
        <v>41368</v>
      </c>
      <c r="D1401" s="18" t="s">
        <v>78</v>
      </c>
      <c r="E1401" s="18" t="s">
        <v>61</v>
      </c>
      <c r="F1401" s="21">
        <v>945</v>
      </c>
    </row>
    <row r="1402" spans="2:6" x14ac:dyDescent="0.25">
      <c r="B1402" s="18" t="s">
        <v>11</v>
      </c>
      <c r="C1402" s="19">
        <f>40736+(3*365)</f>
        <v>41831</v>
      </c>
      <c r="D1402" s="18" t="s">
        <v>74</v>
      </c>
      <c r="E1402" s="18" t="s">
        <v>61</v>
      </c>
      <c r="F1402" s="21">
        <v>1176</v>
      </c>
    </row>
    <row r="1403" spans="2:6" x14ac:dyDescent="0.25">
      <c r="B1403" s="18" t="s">
        <v>8</v>
      </c>
      <c r="C1403" s="19">
        <f>40543+(3*365)</f>
        <v>41638</v>
      </c>
      <c r="D1403" s="18" t="s">
        <v>81</v>
      </c>
      <c r="E1403" s="18" t="s">
        <v>64</v>
      </c>
      <c r="F1403" s="21">
        <v>12488</v>
      </c>
    </row>
    <row r="1404" spans="2:6" x14ac:dyDescent="0.25">
      <c r="B1404" s="18" t="s">
        <v>21</v>
      </c>
      <c r="C1404" s="19">
        <f>41212+(3*365)</f>
        <v>42307</v>
      </c>
      <c r="D1404" s="18" t="s">
        <v>73</v>
      </c>
      <c r="E1404" s="18" t="s">
        <v>66</v>
      </c>
      <c r="F1404" s="21">
        <v>1708</v>
      </c>
    </row>
    <row r="1405" spans="2:6" x14ac:dyDescent="0.25">
      <c r="B1405" s="18" t="s">
        <v>8</v>
      </c>
      <c r="C1405" s="19">
        <f>40110+(3*365)</f>
        <v>41205</v>
      </c>
      <c r="D1405" s="18" t="s">
        <v>81</v>
      </c>
      <c r="E1405" s="18" t="s">
        <v>69</v>
      </c>
      <c r="F1405" s="21">
        <v>882</v>
      </c>
    </row>
    <row r="1406" spans="2:6" x14ac:dyDescent="0.25">
      <c r="B1406" s="18" t="s">
        <v>21</v>
      </c>
      <c r="C1406" s="19">
        <f>40030+(3*365)</f>
        <v>41125</v>
      </c>
      <c r="D1406" s="18" t="s">
        <v>58</v>
      </c>
      <c r="E1406" s="18" t="s">
        <v>63</v>
      </c>
      <c r="F1406" s="21">
        <v>217</v>
      </c>
    </row>
    <row r="1407" spans="2:6" x14ac:dyDescent="0.25">
      <c r="B1407" s="18" t="s">
        <v>31</v>
      </c>
      <c r="C1407" s="19">
        <f>40527+(3*365)</f>
        <v>41622</v>
      </c>
      <c r="D1407" s="18" t="s">
        <v>70</v>
      </c>
      <c r="E1407" s="18" t="s">
        <v>75</v>
      </c>
      <c r="F1407" s="21">
        <v>234</v>
      </c>
    </row>
    <row r="1408" spans="2:6" x14ac:dyDescent="0.25">
      <c r="B1408" s="18" t="s">
        <v>9</v>
      </c>
      <c r="C1408" s="19">
        <f>40733+(3*365)</f>
        <v>41828</v>
      </c>
      <c r="D1408" s="18" t="s">
        <v>62</v>
      </c>
      <c r="E1408" s="18" t="s">
        <v>75</v>
      </c>
      <c r="F1408" s="21">
        <v>198</v>
      </c>
    </row>
    <row r="1409" spans="2:6" x14ac:dyDescent="0.25">
      <c r="B1409" s="18" t="s">
        <v>25</v>
      </c>
      <c r="C1409" s="19">
        <f>40216+(3*365)</f>
        <v>41311</v>
      </c>
      <c r="D1409" s="18" t="s">
        <v>79</v>
      </c>
      <c r="E1409" s="18" t="s">
        <v>64</v>
      </c>
      <c r="F1409" s="21">
        <v>14634</v>
      </c>
    </row>
    <row r="1410" spans="2:6" x14ac:dyDescent="0.25">
      <c r="B1410" s="18" t="s">
        <v>9</v>
      </c>
      <c r="C1410" s="19">
        <f>40045+(3*365)</f>
        <v>41140</v>
      </c>
      <c r="D1410" s="18" t="s">
        <v>62</v>
      </c>
      <c r="E1410" s="18" t="s">
        <v>72</v>
      </c>
      <c r="F1410" s="21">
        <v>1428</v>
      </c>
    </row>
    <row r="1411" spans="2:6" x14ac:dyDescent="0.25">
      <c r="B1411" s="18" t="s">
        <v>11</v>
      </c>
      <c r="C1411" s="19">
        <f>40413+(3*365)</f>
        <v>41508</v>
      </c>
      <c r="D1411" s="18" t="s">
        <v>60</v>
      </c>
      <c r="E1411" s="18" t="s">
        <v>64</v>
      </c>
      <c r="F1411" s="21">
        <v>5463</v>
      </c>
    </row>
    <row r="1412" spans="2:6" x14ac:dyDescent="0.25">
      <c r="B1412" s="18" t="s">
        <v>18</v>
      </c>
      <c r="C1412" s="19">
        <f>39814+(3*365)</f>
        <v>40909</v>
      </c>
      <c r="D1412" s="18" t="s">
        <v>68</v>
      </c>
      <c r="E1412" s="18" t="s">
        <v>61</v>
      </c>
      <c r="F1412" s="21">
        <v>568</v>
      </c>
    </row>
    <row r="1413" spans="2:6" x14ac:dyDescent="0.25">
      <c r="B1413" s="18" t="s">
        <v>25</v>
      </c>
      <c r="C1413" s="19">
        <f>39936+(3*365)</f>
        <v>41031</v>
      </c>
      <c r="D1413" s="18" t="s">
        <v>79</v>
      </c>
      <c r="E1413" s="18" t="s">
        <v>64</v>
      </c>
      <c r="F1413" s="21">
        <v>1396</v>
      </c>
    </row>
    <row r="1414" spans="2:6" x14ac:dyDescent="0.25">
      <c r="B1414" s="18" t="s">
        <v>25</v>
      </c>
      <c r="C1414" s="19">
        <f>40928+(3*365)</f>
        <v>42023</v>
      </c>
      <c r="D1414" s="18" t="s">
        <v>79</v>
      </c>
      <c r="E1414" s="18" t="s">
        <v>75</v>
      </c>
      <c r="F1414" s="21">
        <v>140</v>
      </c>
    </row>
    <row r="1415" spans="2:6" x14ac:dyDescent="0.25">
      <c r="B1415" s="18" t="s">
        <v>18</v>
      </c>
      <c r="C1415" s="19">
        <f>40868+(3*365)</f>
        <v>41963</v>
      </c>
      <c r="D1415" s="18" t="s">
        <v>68</v>
      </c>
      <c r="E1415" s="18" t="s">
        <v>63</v>
      </c>
      <c r="F1415" s="21">
        <v>1848</v>
      </c>
    </row>
    <row r="1416" spans="2:6" x14ac:dyDescent="0.25">
      <c r="B1416" s="18" t="s">
        <v>8</v>
      </c>
      <c r="C1416" s="19">
        <f>40772+(3*365)</f>
        <v>41867</v>
      </c>
      <c r="D1416" s="18" t="s">
        <v>81</v>
      </c>
      <c r="E1416" s="18" t="s">
        <v>72</v>
      </c>
      <c r="F1416" s="21">
        <v>872</v>
      </c>
    </row>
    <row r="1417" spans="2:6" x14ac:dyDescent="0.25">
      <c r="B1417" s="18" t="s">
        <v>10</v>
      </c>
      <c r="C1417" s="19">
        <f>40671+(3*365)</f>
        <v>41766</v>
      </c>
      <c r="D1417" s="18" t="s">
        <v>67</v>
      </c>
      <c r="E1417" s="18" t="s">
        <v>63</v>
      </c>
      <c r="F1417" s="21">
        <v>504</v>
      </c>
    </row>
    <row r="1418" spans="2:6" x14ac:dyDescent="0.25">
      <c r="B1418" s="18" t="s">
        <v>10</v>
      </c>
      <c r="C1418" s="19">
        <f>40998+(3*365)</f>
        <v>42093</v>
      </c>
      <c r="D1418" s="18" t="s">
        <v>65</v>
      </c>
      <c r="E1418" s="18" t="s">
        <v>72</v>
      </c>
      <c r="F1418" s="21">
        <v>3042</v>
      </c>
    </row>
    <row r="1419" spans="2:6" x14ac:dyDescent="0.25">
      <c r="B1419" s="18" t="s">
        <v>18</v>
      </c>
      <c r="C1419" s="19">
        <f>40182+(3*365)</f>
        <v>41277</v>
      </c>
      <c r="D1419" s="18" t="s">
        <v>71</v>
      </c>
      <c r="E1419" s="18" t="s">
        <v>59</v>
      </c>
      <c r="F1419" s="21">
        <v>87</v>
      </c>
    </row>
    <row r="1420" spans="2:6" x14ac:dyDescent="0.25">
      <c r="B1420" s="18" t="s">
        <v>21</v>
      </c>
      <c r="C1420" s="19">
        <f>40886+(3*365)</f>
        <v>41981</v>
      </c>
      <c r="D1420" s="18" t="s">
        <v>73</v>
      </c>
      <c r="E1420" s="18" t="s">
        <v>72</v>
      </c>
      <c r="F1420" s="21">
        <v>726</v>
      </c>
    </row>
    <row r="1421" spans="2:6" x14ac:dyDescent="0.25">
      <c r="B1421" s="18" t="s">
        <v>18</v>
      </c>
      <c r="C1421" s="19">
        <f>41146+(3*365)</f>
        <v>42241</v>
      </c>
      <c r="D1421" s="18" t="s">
        <v>68</v>
      </c>
      <c r="E1421" s="18" t="s">
        <v>75</v>
      </c>
      <c r="F1421" s="21">
        <v>306</v>
      </c>
    </row>
    <row r="1422" spans="2:6" x14ac:dyDescent="0.25">
      <c r="B1422" s="18" t="s">
        <v>8</v>
      </c>
      <c r="C1422" s="19">
        <f>41200+(3*365)</f>
        <v>42295</v>
      </c>
      <c r="D1422" s="18" t="s">
        <v>81</v>
      </c>
      <c r="E1422" s="18" t="s">
        <v>69</v>
      </c>
      <c r="F1422" s="21">
        <v>4100</v>
      </c>
    </row>
    <row r="1423" spans="2:6" x14ac:dyDescent="0.25">
      <c r="B1423" s="18" t="s">
        <v>8</v>
      </c>
      <c r="C1423" s="19">
        <f>41134+(3*365)</f>
        <v>42229</v>
      </c>
      <c r="D1423" s="18" t="s">
        <v>77</v>
      </c>
      <c r="E1423" s="18" t="s">
        <v>59</v>
      </c>
      <c r="F1423" s="21">
        <v>720</v>
      </c>
    </row>
    <row r="1424" spans="2:6" x14ac:dyDescent="0.25">
      <c r="B1424" s="18" t="s">
        <v>9</v>
      </c>
      <c r="C1424" s="19">
        <f>40804+(3*365)</f>
        <v>41899</v>
      </c>
      <c r="D1424" s="18" t="s">
        <v>80</v>
      </c>
      <c r="E1424" s="18" t="s">
        <v>72</v>
      </c>
      <c r="F1424" s="21">
        <v>2457</v>
      </c>
    </row>
    <row r="1425" spans="2:6" x14ac:dyDescent="0.25">
      <c r="B1425" s="18" t="s">
        <v>8</v>
      </c>
      <c r="C1425" s="19">
        <f>40504+(3*365)</f>
        <v>41599</v>
      </c>
      <c r="D1425" s="18" t="s">
        <v>81</v>
      </c>
      <c r="E1425" s="18" t="s">
        <v>75</v>
      </c>
      <c r="F1425" s="21">
        <v>896</v>
      </c>
    </row>
    <row r="1426" spans="2:6" x14ac:dyDescent="0.25">
      <c r="B1426" s="18" t="s">
        <v>25</v>
      </c>
      <c r="C1426" s="19">
        <f>40941+(3*365)</f>
        <v>42036</v>
      </c>
      <c r="D1426" s="18" t="s">
        <v>79</v>
      </c>
      <c r="E1426" s="18" t="s">
        <v>72</v>
      </c>
      <c r="F1426" s="21">
        <v>2448</v>
      </c>
    </row>
    <row r="1427" spans="2:6" x14ac:dyDescent="0.25">
      <c r="B1427" s="18" t="s">
        <v>25</v>
      </c>
      <c r="C1427" s="19">
        <f>41259+(3*365)</f>
        <v>42354</v>
      </c>
      <c r="D1427" s="18" t="s">
        <v>79</v>
      </c>
      <c r="E1427" s="18" t="s">
        <v>59</v>
      </c>
      <c r="F1427" s="21">
        <v>416</v>
      </c>
    </row>
    <row r="1428" spans="2:6" x14ac:dyDescent="0.25">
      <c r="B1428" s="18" t="s">
        <v>11</v>
      </c>
      <c r="C1428" s="19">
        <f>40932+(3*365)</f>
        <v>42027</v>
      </c>
      <c r="D1428" s="18" t="s">
        <v>60</v>
      </c>
      <c r="E1428" s="18" t="s">
        <v>59</v>
      </c>
      <c r="F1428" s="21">
        <v>1064</v>
      </c>
    </row>
    <row r="1429" spans="2:6" x14ac:dyDescent="0.25">
      <c r="B1429" s="18" t="s">
        <v>25</v>
      </c>
      <c r="C1429" s="19">
        <f>40364+(3*365)</f>
        <v>41459</v>
      </c>
      <c r="D1429" s="18" t="s">
        <v>78</v>
      </c>
      <c r="E1429" s="18" t="s">
        <v>66</v>
      </c>
      <c r="F1429" s="21">
        <v>816</v>
      </c>
    </row>
    <row r="1430" spans="2:6" x14ac:dyDescent="0.25">
      <c r="B1430" s="18" t="s">
        <v>8</v>
      </c>
      <c r="C1430" s="19">
        <f>40484+(3*365)</f>
        <v>41579</v>
      </c>
      <c r="D1430" s="18" t="s">
        <v>77</v>
      </c>
      <c r="E1430" s="18" t="s">
        <v>75</v>
      </c>
      <c r="F1430" s="21">
        <v>44</v>
      </c>
    </row>
    <row r="1431" spans="2:6" x14ac:dyDescent="0.25">
      <c r="B1431" s="18" t="s">
        <v>8</v>
      </c>
      <c r="C1431" s="19">
        <f>40370+(3*365)</f>
        <v>41465</v>
      </c>
      <c r="D1431" s="18" t="s">
        <v>81</v>
      </c>
      <c r="E1431" s="18" t="s">
        <v>59</v>
      </c>
      <c r="F1431" s="21">
        <v>900</v>
      </c>
    </row>
    <row r="1432" spans="2:6" x14ac:dyDescent="0.25">
      <c r="B1432" s="18" t="s">
        <v>11</v>
      </c>
      <c r="C1432" s="19">
        <f>40611+(3*365)</f>
        <v>41706</v>
      </c>
      <c r="D1432" s="18" t="s">
        <v>74</v>
      </c>
      <c r="E1432" s="18" t="s">
        <v>66</v>
      </c>
      <c r="F1432" s="21">
        <v>2214</v>
      </c>
    </row>
    <row r="1433" spans="2:6" x14ac:dyDescent="0.25">
      <c r="B1433" s="18" t="s">
        <v>9</v>
      </c>
      <c r="C1433" s="19">
        <f>40041+(3*365)</f>
        <v>41136</v>
      </c>
      <c r="D1433" s="18" t="s">
        <v>62</v>
      </c>
      <c r="E1433" s="18" t="s">
        <v>66</v>
      </c>
      <c r="F1433" s="21">
        <v>318</v>
      </c>
    </row>
    <row r="1434" spans="2:6" x14ac:dyDescent="0.25">
      <c r="B1434" s="18" t="s">
        <v>18</v>
      </c>
      <c r="C1434" s="19">
        <f>40210+(3*365)</f>
        <v>41305</v>
      </c>
      <c r="D1434" s="18" t="s">
        <v>68</v>
      </c>
      <c r="E1434" s="18" t="s">
        <v>64</v>
      </c>
      <c r="F1434" s="21">
        <v>9282</v>
      </c>
    </row>
    <row r="1435" spans="2:6" x14ac:dyDescent="0.25">
      <c r="B1435" s="18" t="s">
        <v>10</v>
      </c>
      <c r="C1435" s="19">
        <f>40755+(3*365)</f>
        <v>41850</v>
      </c>
      <c r="D1435" s="18" t="s">
        <v>67</v>
      </c>
      <c r="E1435" s="18" t="s">
        <v>59</v>
      </c>
      <c r="F1435" s="21">
        <v>96</v>
      </c>
    </row>
    <row r="1436" spans="2:6" x14ac:dyDescent="0.25">
      <c r="B1436" s="18" t="s">
        <v>8</v>
      </c>
      <c r="C1436" s="19">
        <f>40547+(3*365)</f>
        <v>41642</v>
      </c>
      <c r="D1436" s="18" t="s">
        <v>77</v>
      </c>
      <c r="E1436" s="18" t="s">
        <v>63</v>
      </c>
      <c r="F1436" s="21">
        <v>1484</v>
      </c>
    </row>
    <row r="1437" spans="2:6" x14ac:dyDescent="0.25">
      <c r="B1437" s="18" t="s">
        <v>25</v>
      </c>
      <c r="C1437" s="19">
        <f>41013+(3*365)</f>
        <v>42108</v>
      </c>
      <c r="D1437" s="18" t="s">
        <v>79</v>
      </c>
      <c r="E1437" s="18" t="s">
        <v>69</v>
      </c>
      <c r="F1437" s="21">
        <v>2700</v>
      </c>
    </row>
    <row r="1438" spans="2:6" x14ac:dyDescent="0.25">
      <c r="B1438" s="18" t="s">
        <v>21</v>
      </c>
      <c r="C1438" s="19">
        <f>40769+(3*365)</f>
        <v>41864</v>
      </c>
      <c r="D1438" s="18" t="s">
        <v>58</v>
      </c>
      <c r="E1438" s="18" t="s">
        <v>59</v>
      </c>
      <c r="F1438" s="21">
        <v>54</v>
      </c>
    </row>
    <row r="1439" spans="2:6" x14ac:dyDescent="0.25">
      <c r="B1439" s="18" t="s">
        <v>25</v>
      </c>
      <c r="C1439" s="19">
        <f>40032+(3*365)</f>
        <v>41127</v>
      </c>
      <c r="D1439" s="18" t="s">
        <v>79</v>
      </c>
      <c r="E1439" s="18" t="s">
        <v>64</v>
      </c>
      <c r="F1439" s="21">
        <v>3330</v>
      </c>
    </row>
    <row r="1440" spans="2:6" x14ac:dyDescent="0.25">
      <c r="B1440" s="18" t="s">
        <v>9</v>
      </c>
      <c r="C1440" s="19">
        <f>40793+(3*365)</f>
        <v>41888</v>
      </c>
      <c r="D1440" s="18" t="s">
        <v>62</v>
      </c>
      <c r="E1440" s="18" t="s">
        <v>61</v>
      </c>
      <c r="F1440" s="21">
        <v>819</v>
      </c>
    </row>
    <row r="1441" spans="2:6" x14ac:dyDescent="0.25">
      <c r="B1441" s="18" t="s">
        <v>10</v>
      </c>
      <c r="C1441" s="19">
        <f>41203+(3*365)</f>
        <v>42298</v>
      </c>
      <c r="D1441" s="18" t="s">
        <v>67</v>
      </c>
      <c r="E1441" s="18" t="s">
        <v>61</v>
      </c>
      <c r="F1441" s="21">
        <v>78</v>
      </c>
    </row>
    <row r="1442" spans="2:6" x14ac:dyDescent="0.25">
      <c r="B1442" s="18" t="s">
        <v>25</v>
      </c>
      <c r="C1442" s="19">
        <f>40169+(3*365)</f>
        <v>41264</v>
      </c>
      <c r="D1442" s="18" t="s">
        <v>78</v>
      </c>
      <c r="E1442" s="18" t="s">
        <v>63</v>
      </c>
      <c r="F1442" s="21">
        <v>588</v>
      </c>
    </row>
    <row r="1443" spans="2:6" x14ac:dyDescent="0.25">
      <c r="B1443" s="18" t="s">
        <v>8</v>
      </c>
      <c r="C1443" s="19">
        <f>40355+(3*365)</f>
        <v>41450</v>
      </c>
      <c r="D1443" s="18" t="s">
        <v>81</v>
      </c>
      <c r="E1443" s="18" t="s">
        <v>61</v>
      </c>
      <c r="F1443" s="21">
        <v>384</v>
      </c>
    </row>
    <row r="1444" spans="2:6" x14ac:dyDescent="0.25">
      <c r="B1444" s="18" t="s">
        <v>21</v>
      </c>
      <c r="C1444" s="19">
        <f>39912+(3*365)</f>
        <v>41007</v>
      </c>
      <c r="D1444" s="18" t="s">
        <v>58</v>
      </c>
      <c r="E1444" s="18" t="s">
        <v>64</v>
      </c>
      <c r="F1444" s="21">
        <v>5400</v>
      </c>
    </row>
    <row r="1445" spans="2:6" x14ac:dyDescent="0.25">
      <c r="B1445" s="18" t="s">
        <v>31</v>
      </c>
      <c r="C1445" s="19">
        <f>40811+(3*365)</f>
        <v>41906</v>
      </c>
      <c r="D1445" s="18" t="s">
        <v>70</v>
      </c>
      <c r="E1445" s="18" t="s">
        <v>59</v>
      </c>
      <c r="F1445" s="21">
        <v>357</v>
      </c>
    </row>
    <row r="1446" spans="2:6" x14ac:dyDescent="0.25">
      <c r="B1446" s="18" t="s">
        <v>31</v>
      </c>
      <c r="C1446" s="19">
        <f>40154+(3*365)</f>
        <v>41249</v>
      </c>
      <c r="D1446" s="18" t="s">
        <v>70</v>
      </c>
      <c r="E1446" s="18" t="s">
        <v>69</v>
      </c>
      <c r="F1446" s="21">
        <v>1524</v>
      </c>
    </row>
    <row r="1447" spans="2:6" x14ac:dyDescent="0.25">
      <c r="B1447" s="18" t="s">
        <v>25</v>
      </c>
      <c r="C1447" s="19">
        <f>39968+(3*365)</f>
        <v>41063</v>
      </c>
      <c r="D1447" s="18" t="s">
        <v>79</v>
      </c>
      <c r="E1447" s="18" t="s">
        <v>63</v>
      </c>
      <c r="F1447" s="21">
        <v>280</v>
      </c>
    </row>
    <row r="1448" spans="2:6" x14ac:dyDescent="0.25">
      <c r="B1448" s="18" t="s">
        <v>8</v>
      </c>
      <c r="C1448" s="19">
        <f>41132+(3*365)</f>
        <v>42227</v>
      </c>
      <c r="D1448" s="18" t="s">
        <v>77</v>
      </c>
      <c r="E1448" s="18" t="s">
        <v>72</v>
      </c>
      <c r="F1448" s="21">
        <v>204</v>
      </c>
    </row>
    <row r="1449" spans="2:6" x14ac:dyDescent="0.25">
      <c r="B1449" s="18" t="s">
        <v>25</v>
      </c>
      <c r="C1449" s="19">
        <f>40845+(3*365)</f>
        <v>41940</v>
      </c>
      <c r="D1449" s="18" t="s">
        <v>79</v>
      </c>
      <c r="E1449" s="18" t="s">
        <v>64</v>
      </c>
      <c r="F1449" s="21">
        <v>1676</v>
      </c>
    </row>
    <row r="1450" spans="2:6" x14ac:dyDescent="0.25">
      <c r="B1450" s="18" t="s">
        <v>9</v>
      </c>
      <c r="C1450" s="19">
        <f>41041+(3*365)</f>
        <v>42136</v>
      </c>
      <c r="D1450" s="18" t="s">
        <v>80</v>
      </c>
      <c r="E1450" s="18" t="s">
        <v>75</v>
      </c>
      <c r="F1450" s="21">
        <v>115</v>
      </c>
    </row>
    <row r="1451" spans="2:6" x14ac:dyDescent="0.25">
      <c r="B1451" s="18" t="s">
        <v>25</v>
      </c>
      <c r="C1451" s="19">
        <f>40942+(3*365)</f>
        <v>42037</v>
      </c>
      <c r="D1451" s="18" t="s">
        <v>78</v>
      </c>
      <c r="E1451" s="18" t="s">
        <v>64</v>
      </c>
      <c r="F1451" s="21">
        <v>4494</v>
      </c>
    </row>
    <row r="1452" spans="2:6" x14ac:dyDescent="0.25">
      <c r="B1452" s="18" t="s">
        <v>31</v>
      </c>
      <c r="C1452" s="19">
        <f>41018+(3*365)</f>
        <v>42113</v>
      </c>
      <c r="D1452" s="18" t="s">
        <v>70</v>
      </c>
      <c r="E1452" s="18" t="s">
        <v>72</v>
      </c>
      <c r="F1452" s="21">
        <v>4752</v>
      </c>
    </row>
    <row r="1453" spans="2:6" x14ac:dyDescent="0.25">
      <c r="B1453" s="18" t="s">
        <v>11</v>
      </c>
      <c r="C1453" s="19">
        <f>40281+(3*365)</f>
        <v>41376</v>
      </c>
      <c r="D1453" s="18" t="s">
        <v>74</v>
      </c>
      <c r="E1453" s="18" t="s">
        <v>59</v>
      </c>
      <c r="F1453" s="21">
        <v>468</v>
      </c>
    </row>
    <row r="1454" spans="2:6" x14ac:dyDescent="0.25">
      <c r="B1454" s="18" t="s">
        <v>11</v>
      </c>
      <c r="C1454" s="19">
        <f>40971+(3*365)</f>
        <v>42066</v>
      </c>
      <c r="D1454" s="18" t="s">
        <v>60</v>
      </c>
      <c r="E1454" s="18" t="s">
        <v>72</v>
      </c>
      <c r="F1454" s="21">
        <v>192</v>
      </c>
    </row>
    <row r="1455" spans="2:6" x14ac:dyDescent="0.25">
      <c r="B1455" s="18" t="s">
        <v>9</v>
      </c>
      <c r="C1455" s="19">
        <f>39908+(3*365)</f>
        <v>41003</v>
      </c>
      <c r="D1455" s="18" t="s">
        <v>62</v>
      </c>
      <c r="E1455" s="18" t="s">
        <v>72</v>
      </c>
      <c r="F1455" s="21">
        <v>1250</v>
      </c>
    </row>
    <row r="1456" spans="2:6" x14ac:dyDescent="0.25">
      <c r="B1456" s="18" t="s">
        <v>25</v>
      </c>
      <c r="C1456" s="19">
        <f>40940+(3*365)</f>
        <v>42035</v>
      </c>
      <c r="D1456" s="18" t="s">
        <v>78</v>
      </c>
      <c r="E1456" s="18" t="s">
        <v>63</v>
      </c>
      <c r="F1456" s="21">
        <v>800</v>
      </c>
    </row>
    <row r="1457" spans="2:6" x14ac:dyDescent="0.25">
      <c r="B1457" s="18" t="s">
        <v>9</v>
      </c>
      <c r="C1457" s="19">
        <f>40750+(3*365)</f>
        <v>41845</v>
      </c>
      <c r="D1457" s="18" t="s">
        <v>80</v>
      </c>
      <c r="E1457" s="18" t="s">
        <v>72</v>
      </c>
      <c r="F1457" s="21">
        <v>1974</v>
      </c>
    </row>
    <row r="1458" spans="2:6" x14ac:dyDescent="0.25">
      <c r="B1458" s="18" t="s">
        <v>9</v>
      </c>
      <c r="C1458" s="19">
        <f>40725+(3*365)</f>
        <v>41820</v>
      </c>
      <c r="D1458" s="18" t="s">
        <v>80</v>
      </c>
      <c r="E1458" s="18" t="s">
        <v>66</v>
      </c>
      <c r="F1458" s="21">
        <v>720</v>
      </c>
    </row>
    <row r="1459" spans="2:6" x14ac:dyDescent="0.25">
      <c r="B1459" s="18" t="s">
        <v>10</v>
      </c>
      <c r="C1459" s="19">
        <f>40415+(3*365)</f>
        <v>41510</v>
      </c>
      <c r="D1459" s="18" t="s">
        <v>67</v>
      </c>
      <c r="E1459" s="18" t="s">
        <v>63</v>
      </c>
      <c r="F1459" s="21">
        <v>588</v>
      </c>
    </row>
    <row r="1460" spans="2:6" x14ac:dyDescent="0.25">
      <c r="B1460" s="18" t="s">
        <v>21</v>
      </c>
      <c r="C1460" s="19">
        <f>40329+(3*365)</f>
        <v>41424</v>
      </c>
      <c r="D1460" s="18" t="s">
        <v>58</v>
      </c>
      <c r="E1460" s="18" t="s">
        <v>59</v>
      </c>
      <c r="F1460" s="21">
        <v>420</v>
      </c>
    </row>
    <row r="1461" spans="2:6" x14ac:dyDescent="0.25">
      <c r="B1461" s="18" t="s">
        <v>11</v>
      </c>
      <c r="C1461" s="19">
        <f>41093+(3*365)</f>
        <v>42188</v>
      </c>
      <c r="D1461" s="18" t="s">
        <v>74</v>
      </c>
      <c r="E1461" s="18" t="s">
        <v>66</v>
      </c>
      <c r="F1461" s="21">
        <v>1596</v>
      </c>
    </row>
    <row r="1462" spans="2:6" x14ac:dyDescent="0.25">
      <c r="B1462" s="18" t="s">
        <v>8</v>
      </c>
      <c r="C1462" s="19">
        <f>41012+(3*365)</f>
        <v>42107</v>
      </c>
      <c r="D1462" s="18" t="s">
        <v>81</v>
      </c>
      <c r="E1462" s="18" t="s">
        <v>63</v>
      </c>
      <c r="F1462" s="21">
        <v>536</v>
      </c>
    </row>
    <row r="1463" spans="2:6" x14ac:dyDescent="0.25">
      <c r="B1463" s="18" t="s">
        <v>10</v>
      </c>
      <c r="C1463" s="19">
        <f>40244+(3*365)</f>
        <v>41339</v>
      </c>
      <c r="D1463" s="18" t="s">
        <v>67</v>
      </c>
      <c r="E1463" s="18" t="s">
        <v>75</v>
      </c>
      <c r="F1463" s="21">
        <v>108</v>
      </c>
    </row>
    <row r="1464" spans="2:6" x14ac:dyDescent="0.25">
      <c r="B1464" s="18" t="s">
        <v>9</v>
      </c>
      <c r="C1464" s="19">
        <f>39958+(3*365)</f>
        <v>41053</v>
      </c>
      <c r="D1464" s="18" t="s">
        <v>62</v>
      </c>
      <c r="E1464" s="18" t="s">
        <v>69</v>
      </c>
      <c r="F1464" s="21">
        <v>2674</v>
      </c>
    </row>
    <row r="1465" spans="2:6" x14ac:dyDescent="0.25">
      <c r="B1465" s="18" t="s">
        <v>9</v>
      </c>
      <c r="C1465" s="19">
        <f>40036+(3*365)</f>
        <v>41131</v>
      </c>
      <c r="D1465" s="18" t="s">
        <v>80</v>
      </c>
      <c r="E1465" s="18" t="s">
        <v>61</v>
      </c>
      <c r="F1465" s="21">
        <v>630</v>
      </c>
    </row>
    <row r="1466" spans="2:6" x14ac:dyDescent="0.25">
      <c r="B1466" s="18" t="s">
        <v>21</v>
      </c>
      <c r="C1466" s="19">
        <f>40949+(3*365)</f>
        <v>42044</v>
      </c>
      <c r="D1466" s="18" t="s">
        <v>58</v>
      </c>
      <c r="E1466" s="18" t="s">
        <v>63</v>
      </c>
      <c r="F1466" s="21">
        <v>1344</v>
      </c>
    </row>
    <row r="1467" spans="2:6" x14ac:dyDescent="0.25">
      <c r="B1467" s="18" t="s">
        <v>9</v>
      </c>
      <c r="C1467" s="19">
        <f>40751+(3*365)</f>
        <v>41846</v>
      </c>
      <c r="D1467" s="18" t="s">
        <v>80</v>
      </c>
      <c r="E1467" s="18" t="s">
        <v>66</v>
      </c>
      <c r="F1467" s="21">
        <v>90</v>
      </c>
    </row>
    <row r="1468" spans="2:6" x14ac:dyDescent="0.25">
      <c r="B1468" s="18" t="s">
        <v>10</v>
      </c>
      <c r="C1468" s="19">
        <f>41114+(3*365)</f>
        <v>42209</v>
      </c>
      <c r="D1468" s="18" t="s">
        <v>65</v>
      </c>
      <c r="E1468" s="18" t="s">
        <v>66</v>
      </c>
      <c r="F1468" s="21">
        <v>720</v>
      </c>
    </row>
    <row r="1469" spans="2:6" x14ac:dyDescent="0.25">
      <c r="B1469" s="18" t="s">
        <v>25</v>
      </c>
      <c r="C1469" s="19">
        <f>41108+(3*365)</f>
        <v>42203</v>
      </c>
      <c r="D1469" s="18" t="s">
        <v>78</v>
      </c>
      <c r="E1469" s="18" t="s">
        <v>59</v>
      </c>
      <c r="F1469" s="21">
        <v>432</v>
      </c>
    </row>
    <row r="1470" spans="2:6" x14ac:dyDescent="0.25">
      <c r="B1470" s="18" t="s">
        <v>21</v>
      </c>
      <c r="C1470" s="19">
        <f>39953+(3*365)</f>
        <v>41048</v>
      </c>
      <c r="D1470" s="18" t="s">
        <v>73</v>
      </c>
      <c r="E1470" s="18" t="s">
        <v>63</v>
      </c>
      <c r="F1470" s="21">
        <v>245</v>
      </c>
    </row>
    <row r="1471" spans="2:6" x14ac:dyDescent="0.25">
      <c r="B1471" s="18" t="s">
        <v>31</v>
      </c>
      <c r="C1471" s="19">
        <f>39885+(3*365)</f>
        <v>40980</v>
      </c>
      <c r="D1471" s="18" t="s">
        <v>76</v>
      </c>
      <c r="E1471" s="18" t="s">
        <v>75</v>
      </c>
      <c r="F1471" s="21">
        <v>294</v>
      </c>
    </row>
    <row r="1472" spans="2:6" x14ac:dyDescent="0.25">
      <c r="B1472" s="18" t="s">
        <v>18</v>
      </c>
      <c r="C1472" s="19">
        <f>40303+(3*365)</f>
        <v>41398</v>
      </c>
      <c r="D1472" s="18" t="s">
        <v>68</v>
      </c>
      <c r="E1472" s="18" t="s">
        <v>63</v>
      </c>
      <c r="F1472" s="21">
        <v>276</v>
      </c>
    </row>
    <row r="1473" spans="2:6" x14ac:dyDescent="0.25">
      <c r="B1473" s="18" t="s">
        <v>11</v>
      </c>
      <c r="C1473" s="19">
        <f>39931+(3*365)</f>
        <v>41026</v>
      </c>
      <c r="D1473" s="18" t="s">
        <v>60</v>
      </c>
      <c r="E1473" s="18" t="s">
        <v>59</v>
      </c>
      <c r="F1473" s="21">
        <v>114</v>
      </c>
    </row>
    <row r="1474" spans="2:6" x14ac:dyDescent="0.25">
      <c r="B1474" s="18" t="s">
        <v>10</v>
      </c>
      <c r="C1474" s="19">
        <f>41092+(3*365)</f>
        <v>42187</v>
      </c>
      <c r="D1474" s="18" t="s">
        <v>65</v>
      </c>
      <c r="E1474" s="18" t="s">
        <v>63</v>
      </c>
      <c r="F1474" s="21">
        <v>1488</v>
      </c>
    </row>
    <row r="1475" spans="2:6" x14ac:dyDescent="0.25">
      <c r="B1475" s="18" t="s">
        <v>9</v>
      </c>
      <c r="C1475" s="19">
        <f>41104+(3*365)</f>
        <v>42199</v>
      </c>
      <c r="D1475" s="18" t="s">
        <v>80</v>
      </c>
      <c r="E1475" s="18" t="s">
        <v>75</v>
      </c>
      <c r="F1475" s="21">
        <v>28</v>
      </c>
    </row>
    <row r="1476" spans="2:6" x14ac:dyDescent="0.25">
      <c r="B1476" s="18" t="s">
        <v>25</v>
      </c>
      <c r="C1476" s="19">
        <f>39923+(3*365)</f>
        <v>41018</v>
      </c>
      <c r="D1476" s="18" t="s">
        <v>78</v>
      </c>
      <c r="E1476" s="18" t="s">
        <v>69</v>
      </c>
      <c r="F1476" s="21">
        <v>1440</v>
      </c>
    </row>
    <row r="1477" spans="2:6" x14ac:dyDescent="0.25">
      <c r="B1477" s="18" t="s">
        <v>25</v>
      </c>
      <c r="C1477" s="19">
        <f>40200+(3*365)</f>
        <v>41295</v>
      </c>
      <c r="D1477" s="18" t="s">
        <v>79</v>
      </c>
      <c r="E1477" s="18" t="s">
        <v>75</v>
      </c>
      <c r="F1477" s="21">
        <v>390</v>
      </c>
    </row>
    <row r="1478" spans="2:6" x14ac:dyDescent="0.25">
      <c r="B1478" s="18" t="s">
        <v>31</v>
      </c>
      <c r="C1478" s="19">
        <f>40772+(3*365)</f>
        <v>41867</v>
      </c>
      <c r="D1478" s="18" t="s">
        <v>76</v>
      </c>
      <c r="E1478" s="18" t="s">
        <v>75</v>
      </c>
      <c r="F1478" s="21">
        <v>456</v>
      </c>
    </row>
    <row r="1479" spans="2:6" x14ac:dyDescent="0.25">
      <c r="B1479" s="18" t="s">
        <v>25</v>
      </c>
      <c r="C1479" s="19">
        <f>40335+(3*365)</f>
        <v>41430</v>
      </c>
      <c r="D1479" s="18" t="s">
        <v>79</v>
      </c>
      <c r="E1479" s="18" t="s">
        <v>61</v>
      </c>
      <c r="F1479" s="21">
        <v>1224</v>
      </c>
    </row>
    <row r="1480" spans="2:6" x14ac:dyDescent="0.25">
      <c r="B1480" s="18" t="s">
        <v>31</v>
      </c>
      <c r="C1480" s="19">
        <f>40387+(3*365)</f>
        <v>41482</v>
      </c>
      <c r="D1480" s="18" t="s">
        <v>76</v>
      </c>
      <c r="E1480" s="18" t="s">
        <v>64</v>
      </c>
      <c r="F1480" s="21">
        <v>6852</v>
      </c>
    </row>
    <row r="1481" spans="2:6" x14ac:dyDescent="0.25">
      <c r="B1481" s="18" t="s">
        <v>21</v>
      </c>
      <c r="C1481" s="19">
        <f>40638+(3*365)</f>
        <v>41733</v>
      </c>
      <c r="D1481" s="18" t="s">
        <v>73</v>
      </c>
      <c r="E1481" s="18" t="s">
        <v>72</v>
      </c>
      <c r="F1481" s="21">
        <v>405</v>
      </c>
    </row>
    <row r="1482" spans="2:6" x14ac:dyDescent="0.25">
      <c r="B1482" s="18" t="s">
        <v>11</v>
      </c>
      <c r="C1482" s="19">
        <f>41003+(3*365)</f>
        <v>42098</v>
      </c>
      <c r="D1482" s="18" t="s">
        <v>74</v>
      </c>
      <c r="E1482" s="18" t="s">
        <v>59</v>
      </c>
      <c r="F1482" s="21">
        <v>96</v>
      </c>
    </row>
    <row r="1483" spans="2:6" x14ac:dyDescent="0.25">
      <c r="B1483" s="18" t="s">
        <v>25</v>
      </c>
      <c r="C1483" s="19">
        <f>40841+(3*365)</f>
        <v>41936</v>
      </c>
      <c r="D1483" s="18" t="s">
        <v>79</v>
      </c>
      <c r="E1483" s="18" t="s">
        <v>72</v>
      </c>
      <c r="F1483" s="21">
        <v>532</v>
      </c>
    </row>
    <row r="1484" spans="2:6" x14ac:dyDescent="0.25">
      <c r="B1484" s="18" t="s">
        <v>11</v>
      </c>
      <c r="C1484" s="19">
        <f>40567+(3*365)</f>
        <v>41662</v>
      </c>
      <c r="D1484" s="18" t="s">
        <v>74</v>
      </c>
      <c r="E1484" s="18" t="s">
        <v>69</v>
      </c>
      <c r="F1484" s="21">
        <v>3624</v>
      </c>
    </row>
    <row r="1485" spans="2:6" x14ac:dyDescent="0.25">
      <c r="B1485" s="18" t="s">
        <v>11</v>
      </c>
      <c r="C1485" s="19">
        <f>40097+(3*365)</f>
        <v>41192</v>
      </c>
      <c r="D1485" s="18" t="s">
        <v>74</v>
      </c>
      <c r="E1485" s="18" t="s">
        <v>59</v>
      </c>
      <c r="F1485" s="21">
        <v>768</v>
      </c>
    </row>
    <row r="1486" spans="2:6" x14ac:dyDescent="0.25">
      <c r="B1486" s="18" t="s">
        <v>9</v>
      </c>
      <c r="C1486" s="19">
        <f>39967+(3*365)</f>
        <v>41062</v>
      </c>
      <c r="D1486" s="18" t="s">
        <v>80</v>
      </c>
      <c r="E1486" s="18" t="s">
        <v>69</v>
      </c>
      <c r="F1486" s="21">
        <v>1668</v>
      </c>
    </row>
    <row r="1487" spans="2:6" x14ac:dyDescent="0.25">
      <c r="B1487" s="18" t="s">
        <v>9</v>
      </c>
      <c r="C1487" s="19">
        <f>41042+(3*365)</f>
        <v>42137</v>
      </c>
      <c r="D1487" s="18" t="s">
        <v>80</v>
      </c>
      <c r="E1487" s="18" t="s">
        <v>66</v>
      </c>
      <c r="F1487" s="21">
        <v>166</v>
      </c>
    </row>
    <row r="1488" spans="2:6" x14ac:dyDescent="0.25">
      <c r="B1488" s="18" t="s">
        <v>18</v>
      </c>
      <c r="C1488" s="19">
        <f>40553+(3*365)</f>
        <v>41648</v>
      </c>
      <c r="D1488" s="18" t="s">
        <v>71</v>
      </c>
      <c r="E1488" s="18" t="s">
        <v>59</v>
      </c>
      <c r="F1488" s="21">
        <v>504</v>
      </c>
    </row>
    <row r="1489" spans="2:6" x14ac:dyDescent="0.25">
      <c r="B1489" s="18" t="s">
        <v>9</v>
      </c>
      <c r="C1489" s="19">
        <f>40253+(3*365)</f>
        <v>41348</v>
      </c>
      <c r="D1489" s="18" t="s">
        <v>62</v>
      </c>
      <c r="E1489" s="18" t="s">
        <v>59</v>
      </c>
      <c r="F1489" s="21">
        <v>464</v>
      </c>
    </row>
    <row r="1490" spans="2:6" x14ac:dyDescent="0.25">
      <c r="B1490" s="18" t="s">
        <v>8</v>
      </c>
      <c r="C1490" s="19">
        <f>40246+(3*365)</f>
        <v>41341</v>
      </c>
      <c r="D1490" s="18" t="s">
        <v>77</v>
      </c>
      <c r="E1490" s="18" t="s">
        <v>66</v>
      </c>
      <c r="F1490" s="21">
        <v>896</v>
      </c>
    </row>
    <row r="1491" spans="2:6" x14ac:dyDescent="0.25">
      <c r="B1491" s="18" t="s">
        <v>21</v>
      </c>
      <c r="C1491" s="19">
        <f>39873+(3*365)</f>
        <v>40968</v>
      </c>
      <c r="D1491" s="18" t="s">
        <v>73</v>
      </c>
      <c r="E1491" s="18" t="s">
        <v>75</v>
      </c>
      <c r="F1491" s="21">
        <v>117</v>
      </c>
    </row>
    <row r="1492" spans="2:6" x14ac:dyDescent="0.25">
      <c r="B1492" s="18" t="s">
        <v>25</v>
      </c>
      <c r="C1492" s="19">
        <f>41136+(3*365)</f>
        <v>42231</v>
      </c>
      <c r="D1492" s="18" t="s">
        <v>79</v>
      </c>
      <c r="E1492" s="18" t="s">
        <v>59</v>
      </c>
      <c r="F1492" s="21">
        <v>256</v>
      </c>
    </row>
    <row r="1493" spans="2:6" x14ac:dyDescent="0.25">
      <c r="B1493" s="18" t="s">
        <v>10</v>
      </c>
      <c r="C1493" s="19">
        <f>41178+(3*365)</f>
        <v>42273</v>
      </c>
      <c r="D1493" s="18" t="s">
        <v>65</v>
      </c>
      <c r="E1493" s="18" t="s">
        <v>75</v>
      </c>
      <c r="F1493" s="21">
        <v>435</v>
      </c>
    </row>
    <row r="1494" spans="2:6" x14ac:dyDescent="0.25">
      <c r="B1494" s="18" t="s">
        <v>11</v>
      </c>
      <c r="C1494" s="19">
        <f>39936+(3*365)</f>
        <v>41031</v>
      </c>
      <c r="D1494" s="18" t="s">
        <v>60</v>
      </c>
      <c r="E1494" s="18" t="s">
        <v>75</v>
      </c>
      <c r="F1494" s="21">
        <v>384</v>
      </c>
    </row>
    <row r="1495" spans="2:6" x14ac:dyDescent="0.25">
      <c r="B1495" s="18" t="s">
        <v>25</v>
      </c>
      <c r="C1495" s="19">
        <f>40039+(3*365)</f>
        <v>41134</v>
      </c>
      <c r="D1495" s="18" t="s">
        <v>78</v>
      </c>
      <c r="E1495" s="18" t="s">
        <v>75</v>
      </c>
      <c r="F1495" s="21">
        <v>132</v>
      </c>
    </row>
    <row r="1496" spans="2:6" x14ac:dyDescent="0.25">
      <c r="B1496" s="18" t="s">
        <v>31</v>
      </c>
      <c r="C1496" s="19">
        <f>41072+(3*365)</f>
        <v>42167</v>
      </c>
      <c r="D1496" s="18" t="s">
        <v>76</v>
      </c>
      <c r="E1496" s="18" t="s">
        <v>64</v>
      </c>
      <c r="F1496" s="21">
        <v>10647</v>
      </c>
    </row>
    <row r="1497" spans="2:6" x14ac:dyDescent="0.25">
      <c r="B1497" s="18" t="s">
        <v>18</v>
      </c>
      <c r="C1497" s="19">
        <f>40202+(3*365)</f>
        <v>41297</v>
      </c>
      <c r="D1497" s="18" t="s">
        <v>68</v>
      </c>
      <c r="E1497" s="18" t="s">
        <v>72</v>
      </c>
      <c r="F1497" s="21">
        <v>2877</v>
      </c>
    </row>
    <row r="1498" spans="2:6" x14ac:dyDescent="0.25">
      <c r="B1498" s="18" t="s">
        <v>25</v>
      </c>
      <c r="C1498" s="19">
        <f>40191+(3*365)</f>
        <v>41286</v>
      </c>
      <c r="D1498" s="18" t="s">
        <v>78</v>
      </c>
      <c r="E1498" s="18" t="s">
        <v>61</v>
      </c>
      <c r="F1498" s="21">
        <v>756</v>
      </c>
    </row>
    <row r="1499" spans="2:6" x14ac:dyDescent="0.25">
      <c r="B1499" s="18" t="s">
        <v>18</v>
      </c>
      <c r="C1499" s="19">
        <f>40545+(3*365)</f>
        <v>41640</v>
      </c>
      <c r="D1499" s="18" t="s">
        <v>71</v>
      </c>
      <c r="E1499" s="18" t="s">
        <v>59</v>
      </c>
      <c r="F1499" s="21">
        <v>228</v>
      </c>
    </row>
    <row r="1500" spans="2:6" x14ac:dyDescent="0.25">
      <c r="B1500" s="18" t="s">
        <v>31</v>
      </c>
      <c r="C1500" s="19">
        <f>40981+(3*365)</f>
        <v>42076</v>
      </c>
      <c r="D1500" s="18" t="s">
        <v>70</v>
      </c>
      <c r="E1500" s="18" t="s">
        <v>64</v>
      </c>
      <c r="F1500" s="21">
        <v>2292</v>
      </c>
    </row>
    <row r="1501" spans="2:6" x14ac:dyDescent="0.25">
      <c r="B1501" s="18" t="s">
        <v>11</v>
      </c>
      <c r="C1501" s="19">
        <f>40804+(3*365)</f>
        <v>41899</v>
      </c>
      <c r="D1501" s="18" t="s">
        <v>60</v>
      </c>
      <c r="E1501" s="18" t="s">
        <v>61</v>
      </c>
      <c r="F1501" s="21">
        <v>708</v>
      </c>
    </row>
    <row r="1502" spans="2:6" x14ac:dyDescent="0.25">
      <c r="B1502" s="18" t="s">
        <v>25</v>
      </c>
      <c r="C1502" s="19">
        <f>39943+(3*365)</f>
        <v>41038</v>
      </c>
      <c r="D1502" s="18" t="s">
        <v>79</v>
      </c>
      <c r="E1502" s="18" t="s">
        <v>72</v>
      </c>
      <c r="F1502" s="21">
        <v>436</v>
      </c>
    </row>
    <row r="1503" spans="2:6" x14ac:dyDescent="0.25">
      <c r="B1503" s="18" t="s">
        <v>31</v>
      </c>
      <c r="C1503" s="19">
        <f>40087+(3*365)</f>
        <v>41182</v>
      </c>
      <c r="D1503" s="18" t="s">
        <v>76</v>
      </c>
      <c r="E1503" s="18" t="s">
        <v>66</v>
      </c>
      <c r="F1503" s="21">
        <v>750</v>
      </c>
    </row>
    <row r="1504" spans="2:6" x14ac:dyDescent="0.25">
      <c r="B1504" s="18" t="s">
        <v>25</v>
      </c>
      <c r="C1504" s="19">
        <f>40543+(3*365)</f>
        <v>41638</v>
      </c>
      <c r="D1504" s="18" t="s">
        <v>78</v>
      </c>
      <c r="E1504" s="18" t="s">
        <v>64</v>
      </c>
      <c r="F1504" s="21">
        <v>2736</v>
      </c>
    </row>
    <row r="1505" spans="2:6" x14ac:dyDescent="0.25">
      <c r="B1505" s="18" t="s">
        <v>25</v>
      </c>
      <c r="C1505" s="19">
        <f>39936+(3*365)</f>
        <v>41031</v>
      </c>
      <c r="D1505" s="18" t="s">
        <v>78</v>
      </c>
      <c r="E1505" s="18" t="s">
        <v>61</v>
      </c>
      <c r="F1505" s="21">
        <v>952</v>
      </c>
    </row>
    <row r="1506" spans="2:6" x14ac:dyDescent="0.25">
      <c r="B1506" s="18" t="s">
        <v>21</v>
      </c>
      <c r="C1506" s="19">
        <f>41058+(3*365)</f>
        <v>42153</v>
      </c>
      <c r="D1506" s="18" t="s">
        <v>58</v>
      </c>
      <c r="E1506" s="18" t="s">
        <v>69</v>
      </c>
      <c r="F1506" s="21">
        <v>1392</v>
      </c>
    </row>
    <row r="1507" spans="2:6" x14ac:dyDescent="0.25">
      <c r="B1507" s="18" t="s">
        <v>21</v>
      </c>
      <c r="C1507" s="19">
        <f>40734+(3*365)</f>
        <v>41829</v>
      </c>
      <c r="D1507" s="18" t="s">
        <v>58</v>
      </c>
      <c r="E1507" s="18" t="s">
        <v>61</v>
      </c>
      <c r="F1507" s="21">
        <v>147</v>
      </c>
    </row>
    <row r="1508" spans="2:6" x14ac:dyDescent="0.25">
      <c r="B1508" s="18" t="s">
        <v>25</v>
      </c>
      <c r="C1508" s="19">
        <f>40879+(3*365)</f>
        <v>41974</v>
      </c>
      <c r="D1508" s="18" t="s">
        <v>78</v>
      </c>
      <c r="E1508" s="18" t="s">
        <v>66</v>
      </c>
      <c r="F1508" s="21">
        <v>1280</v>
      </c>
    </row>
    <row r="1509" spans="2:6" x14ac:dyDescent="0.25">
      <c r="B1509" s="18" t="s">
        <v>9</v>
      </c>
      <c r="C1509" s="19">
        <f>40825+(3*365)</f>
        <v>41920</v>
      </c>
      <c r="D1509" s="18" t="s">
        <v>80</v>
      </c>
      <c r="E1509" s="18" t="s">
        <v>75</v>
      </c>
      <c r="F1509" s="21">
        <v>75</v>
      </c>
    </row>
    <row r="1510" spans="2:6" x14ac:dyDescent="0.25">
      <c r="B1510" s="18" t="s">
        <v>25</v>
      </c>
      <c r="C1510" s="19">
        <f>39854+(3*365)</f>
        <v>40949</v>
      </c>
      <c r="D1510" s="18" t="s">
        <v>79</v>
      </c>
      <c r="E1510" s="18" t="s">
        <v>63</v>
      </c>
      <c r="F1510" s="21">
        <v>720</v>
      </c>
    </row>
    <row r="1511" spans="2:6" x14ac:dyDescent="0.25">
      <c r="B1511" s="18" t="s">
        <v>21</v>
      </c>
      <c r="C1511" s="19">
        <f>40046+(3*365)</f>
        <v>41141</v>
      </c>
      <c r="D1511" s="18" t="s">
        <v>73</v>
      </c>
      <c r="E1511" s="18" t="s">
        <v>63</v>
      </c>
      <c r="F1511" s="21">
        <v>21</v>
      </c>
    </row>
    <row r="1512" spans="2:6" x14ac:dyDescent="0.25">
      <c r="B1512" s="18" t="s">
        <v>31</v>
      </c>
      <c r="C1512" s="19">
        <f>40715+(3*365)</f>
        <v>41810</v>
      </c>
      <c r="D1512" s="18" t="s">
        <v>70</v>
      </c>
      <c r="E1512" s="18" t="s">
        <v>69</v>
      </c>
      <c r="F1512" s="21">
        <v>1458</v>
      </c>
    </row>
    <row r="1513" spans="2:6" x14ac:dyDescent="0.25">
      <c r="B1513" s="18" t="s">
        <v>31</v>
      </c>
      <c r="C1513" s="19">
        <f>40906+(3*365)</f>
        <v>42001</v>
      </c>
      <c r="D1513" s="18" t="s">
        <v>76</v>
      </c>
      <c r="E1513" s="18" t="s">
        <v>66</v>
      </c>
      <c r="F1513" s="21">
        <v>2295</v>
      </c>
    </row>
    <row r="1514" spans="2:6" x14ac:dyDescent="0.25">
      <c r="B1514" s="18" t="s">
        <v>31</v>
      </c>
      <c r="C1514" s="19">
        <f>41163+(3*365)</f>
        <v>42258</v>
      </c>
      <c r="D1514" s="18" t="s">
        <v>70</v>
      </c>
      <c r="E1514" s="18" t="s">
        <v>69</v>
      </c>
      <c r="F1514" s="21">
        <v>1863</v>
      </c>
    </row>
    <row r="1515" spans="2:6" x14ac:dyDescent="0.25">
      <c r="B1515" s="18" t="s">
        <v>10</v>
      </c>
      <c r="C1515" s="19">
        <f>39876+(3*365)</f>
        <v>40971</v>
      </c>
      <c r="D1515" s="18" t="s">
        <v>65</v>
      </c>
      <c r="E1515" s="18" t="s">
        <v>59</v>
      </c>
      <c r="F1515" s="21">
        <v>504</v>
      </c>
    </row>
    <row r="1516" spans="2:6" x14ac:dyDescent="0.25">
      <c r="B1516" s="18" t="s">
        <v>11</v>
      </c>
      <c r="C1516" s="19">
        <f>39920+(3*365)</f>
        <v>41015</v>
      </c>
      <c r="D1516" s="18" t="s">
        <v>60</v>
      </c>
      <c r="E1516" s="18" t="s">
        <v>69</v>
      </c>
      <c r="F1516" s="21">
        <v>960</v>
      </c>
    </row>
    <row r="1517" spans="2:6" x14ac:dyDescent="0.25">
      <c r="B1517" s="18" t="s">
        <v>8</v>
      </c>
      <c r="C1517" s="19">
        <f>40017+(3*365)</f>
        <v>41112</v>
      </c>
      <c r="D1517" s="18" t="s">
        <v>81</v>
      </c>
      <c r="E1517" s="18" t="s">
        <v>59</v>
      </c>
      <c r="F1517" s="21">
        <v>630</v>
      </c>
    </row>
    <row r="1518" spans="2:6" x14ac:dyDescent="0.25">
      <c r="B1518" s="18" t="s">
        <v>31</v>
      </c>
      <c r="C1518" s="19">
        <f>41264+(3*365)</f>
        <v>42359</v>
      </c>
      <c r="D1518" s="18" t="s">
        <v>70</v>
      </c>
      <c r="E1518" s="18" t="s">
        <v>69</v>
      </c>
      <c r="F1518" s="21">
        <v>309</v>
      </c>
    </row>
    <row r="1519" spans="2:6" x14ac:dyDescent="0.25">
      <c r="B1519" s="18" t="s">
        <v>25</v>
      </c>
      <c r="C1519" s="19">
        <f>41082+(3*365)</f>
        <v>42177</v>
      </c>
      <c r="D1519" s="18" t="s">
        <v>79</v>
      </c>
      <c r="E1519" s="18" t="s">
        <v>75</v>
      </c>
      <c r="F1519" s="21">
        <v>176</v>
      </c>
    </row>
    <row r="1520" spans="2:6" x14ac:dyDescent="0.25">
      <c r="B1520" s="18" t="s">
        <v>25</v>
      </c>
      <c r="C1520" s="19">
        <f>40036+(3*365)</f>
        <v>41131</v>
      </c>
      <c r="D1520" s="18" t="s">
        <v>79</v>
      </c>
      <c r="E1520" s="18" t="s">
        <v>63</v>
      </c>
      <c r="F1520" s="21">
        <v>756</v>
      </c>
    </row>
    <row r="1521" spans="2:6" x14ac:dyDescent="0.25">
      <c r="B1521" s="18" t="s">
        <v>8</v>
      </c>
      <c r="C1521" s="19">
        <f>41073+(3*365)</f>
        <v>42168</v>
      </c>
      <c r="D1521" s="18" t="s">
        <v>81</v>
      </c>
      <c r="E1521" s="18" t="s">
        <v>59</v>
      </c>
      <c r="F1521" s="21">
        <v>696</v>
      </c>
    </row>
    <row r="1522" spans="2:6" x14ac:dyDescent="0.25">
      <c r="B1522" s="18" t="s">
        <v>9</v>
      </c>
      <c r="C1522" s="19">
        <f>40093+(3*365)</f>
        <v>41188</v>
      </c>
      <c r="D1522" s="18" t="s">
        <v>80</v>
      </c>
      <c r="E1522" s="18" t="s">
        <v>72</v>
      </c>
      <c r="F1522" s="21">
        <v>3616</v>
      </c>
    </row>
    <row r="1523" spans="2:6" x14ac:dyDescent="0.25">
      <c r="B1523" s="18" t="s">
        <v>31</v>
      </c>
      <c r="C1523" s="19">
        <f>40407+(3*365)</f>
        <v>41502</v>
      </c>
      <c r="D1523" s="18" t="s">
        <v>70</v>
      </c>
      <c r="E1523" s="18" t="s">
        <v>61</v>
      </c>
      <c r="F1523" s="21">
        <v>672</v>
      </c>
    </row>
    <row r="1524" spans="2:6" x14ac:dyDescent="0.25">
      <c r="B1524" s="18" t="s">
        <v>18</v>
      </c>
      <c r="C1524" s="19">
        <f>41171+(3*365)</f>
        <v>42266</v>
      </c>
      <c r="D1524" s="18" t="s">
        <v>68</v>
      </c>
      <c r="E1524" s="18" t="s">
        <v>69</v>
      </c>
      <c r="F1524" s="21">
        <v>864</v>
      </c>
    </row>
    <row r="1525" spans="2:6" x14ac:dyDescent="0.25">
      <c r="B1525" s="18" t="s">
        <v>10</v>
      </c>
      <c r="C1525" s="19">
        <f>40325+(3*365)</f>
        <v>41420</v>
      </c>
      <c r="D1525" s="18" t="s">
        <v>65</v>
      </c>
      <c r="E1525" s="18" t="s">
        <v>59</v>
      </c>
      <c r="F1525" s="21">
        <v>180</v>
      </c>
    </row>
    <row r="1526" spans="2:6" x14ac:dyDescent="0.25">
      <c r="B1526" s="18" t="s">
        <v>31</v>
      </c>
      <c r="C1526" s="19">
        <f>41061+(3*365)</f>
        <v>42156</v>
      </c>
      <c r="D1526" s="18" t="s">
        <v>76</v>
      </c>
      <c r="E1526" s="18" t="s">
        <v>59</v>
      </c>
      <c r="F1526" s="21">
        <v>432</v>
      </c>
    </row>
    <row r="1527" spans="2:6" x14ac:dyDescent="0.25">
      <c r="B1527" s="18" t="s">
        <v>10</v>
      </c>
      <c r="C1527" s="19">
        <f>39912+(3*365)</f>
        <v>41007</v>
      </c>
      <c r="D1527" s="18" t="s">
        <v>65</v>
      </c>
      <c r="E1527" s="18" t="s">
        <v>61</v>
      </c>
      <c r="F1527" s="21">
        <v>1120</v>
      </c>
    </row>
    <row r="1528" spans="2:6" x14ac:dyDescent="0.25">
      <c r="B1528" s="18" t="s">
        <v>31</v>
      </c>
      <c r="C1528" s="19">
        <f>40480+(3*365)</f>
        <v>41575</v>
      </c>
      <c r="D1528" s="18" t="s">
        <v>70</v>
      </c>
      <c r="E1528" s="18" t="s">
        <v>72</v>
      </c>
      <c r="F1528" s="21">
        <v>3000</v>
      </c>
    </row>
    <row r="1529" spans="2:6" x14ac:dyDescent="0.25">
      <c r="B1529" s="18" t="s">
        <v>21</v>
      </c>
      <c r="C1529" s="19">
        <f>41255+(3*365)</f>
        <v>42350</v>
      </c>
      <c r="D1529" s="18" t="s">
        <v>73</v>
      </c>
      <c r="E1529" s="18" t="s">
        <v>75</v>
      </c>
      <c r="F1529" s="21">
        <v>456</v>
      </c>
    </row>
    <row r="1530" spans="2:6" x14ac:dyDescent="0.25">
      <c r="B1530" s="18" t="s">
        <v>31</v>
      </c>
      <c r="C1530" s="19">
        <f>39870+(3*365)</f>
        <v>40965</v>
      </c>
      <c r="D1530" s="18" t="s">
        <v>70</v>
      </c>
      <c r="E1530" s="18" t="s">
        <v>69</v>
      </c>
      <c r="F1530" s="21">
        <v>4584</v>
      </c>
    </row>
    <row r="1531" spans="2:6" x14ac:dyDescent="0.25">
      <c r="B1531" s="18" t="s">
        <v>31</v>
      </c>
      <c r="C1531" s="19">
        <f>40102+(3*365)</f>
        <v>41197</v>
      </c>
      <c r="D1531" s="18" t="s">
        <v>70</v>
      </c>
      <c r="E1531" s="18" t="s">
        <v>61</v>
      </c>
      <c r="F1531" s="21">
        <v>966</v>
      </c>
    </row>
    <row r="1532" spans="2:6" x14ac:dyDescent="0.25">
      <c r="B1532" s="18" t="s">
        <v>31</v>
      </c>
      <c r="C1532" s="19">
        <f>40839+(3*365)</f>
        <v>41934</v>
      </c>
      <c r="D1532" s="18" t="s">
        <v>76</v>
      </c>
      <c r="E1532" s="18" t="s">
        <v>75</v>
      </c>
      <c r="F1532" s="21">
        <v>735</v>
      </c>
    </row>
    <row r="1533" spans="2:6" x14ac:dyDescent="0.25">
      <c r="B1533" s="18" t="s">
        <v>8</v>
      </c>
      <c r="C1533" s="19">
        <f>40167+(3*365)</f>
        <v>41262</v>
      </c>
      <c r="D1533" s="18" t="s">
        <v>81</v>
      </c>
      <c r="E1533" s="18" t="s">
        <v>66</v>
      </c>
      <c r="F1533" s="21">
        <v>504</v>
      </c>
    </row>
    <row r="1534" spans="2:6" x14ac:dyDescent="0.25">
      <c r="B1534" s="18" t="s">
        <v>25</v>
      </c>
      <c r="C1534" s="19">
        <f>40992+(3*365)</f>
        <v>42087</v>
      </c>
      <c r="D1534" s="18" t="s">
        <v>78</v>
      </c>
      <c r="E1534" s="18" t="s">
        <v>64</v>
      </c>
      <c r="F1534" s="21">
        <v>11376</v>
      </c>
    </row>
    <row r="1535" spans="2:6" x14ac:dyDescent="0.25">
      <c r="B1535" s="18" t="s">
        <v>25</v>
      </c>
      <c r="C1535" s="19">
        <f>41205+(3*365)</f>
        <v>42300</v>
      </c>
      <c r="D1535" s="18" t="s">
        <v>78</v>
      </c>
      <c r="E1535" s="18" t="s">
        <v>69</v>
      </c>
      <c r="F1535" s="21">
        <v>688</v>
      </c>
    </row>
    <row r="1536" spans="2:6" x14ac:dyDescent="0.25">
      <c r="B1536" s="18" t="s">
        <v>9</v>
      </c>
      <c r="C1536" s="19">
        <f>40564+(3*365)</f>
        <v>41659</v>
      </c>
      <c r="D1536" s="18" t="s">
        <v>80</v>
      </c>
      <c r="E1536" s="18" t="s">
        <v>63</v>
      </c>
      <c r="F1536" s="21">
        <v>288</v>
      </c>
    </row>
    <row r="1537" spans="2:6" x14ac:dyDescent="0.25">
      <c r="B1537" s="18" t="s">
        <v>31</v>
      </c>
      <c r="C1537" s="19">
        <f>41235+(3*365)</f>
        <v>42330</v>
      </c>
      <c r="D1537" s="18" t="s">
        <v>70</v>
      </c>
      <c r="E1537" s="18" t="s">
        <v>75</v>
      </c>
      <c r="F1537" s="21">
        <v>114</v>
      </c>
    </row>
    <row r="1538" spans="2:6" x14ac:dyDescent="0.25">
      <c r="B1538" s="18" t="s">
        <v>9</v>
      </c>
      <c r="C1538" s="19">
        <f>40718+(3*365)</f>
        <v>41813</v>
      </c>
      <c r="D1538" s="18" t="s">
        <v>80</v>
      </c>
      <c r="E1538" s="18" t="s">
        <v>75</v>
      </c>
      <c r="F1538" s="21">
        <v>351</v>
      </c>
    </row>
    <row r="1539" spans="2:6" x14ac:dyDescent="0.25">
      <c r="B1539" s="18" t="s">
        <v>21</v>
      </c>
      <c r="C1539" s="19">
        <f>40877+(3*365)</f>
        <v>41972</v>
      </c>
      <c r="D1539" s="18" t="s">
        <v>58</v>
      </c>
      <c r="E1539" s="18" t="s">
        <v>69</v>
      </c>
      <c r="F1539" s="21">
        <v>1044</v>
      </c>
    </row>
    <row r="1540" spans="2:6" x14ac:dyDescent="0.25">
      <c r="B1540" s="18" t="s">
        <v>9</v>
      </c>
      <c r="C1540" s="19">
        <f>41189+(3*365)</f>
        <v>42284</v>
      </c>
      <c r="D1540" s="18" t="s">
        <v>62</v>
      </c>
      <c r="E1540" s="18" t="s">
        <v>63</v>
      </c>
      <c r="F1540" s="21">
        <v>585</v>
      </c>
    </row>
    <row r="1541" spans="2:6" x14ac:dyDescent="0.25">
      <c r="B1541" s="18" t="s">
        <v>31</v>
      </c>
      <c r="C1541" s="19">
        <f>40352+(3*365)</f>
        <v>41447</v>
      </c>
      <c r="D1541" s="18" t="s">
        <v>70</v>
      </c>
      <c r="E1541" s="18" t="s">
        <v>59</v>
      </c>
      <c r="F1541" s="21">
        <v>513</v>
      </c>
    </row>
    <row r="1542" spans="2:6" x14ac:dyDescent="0.25">
      <c r="B1542" s="18" t="s">
        <v>18</v>
      </c>
      <c r="C1542" s="19">
        <f>40487+(3*365)</f>
        <v>41582</v>
      </c>
      <c r="D1542" s="18" t="s">
        <v>71</v>
      </c>
      <c r="E1542" s="18" t="s">
        <v>64</v>
      </c>
      <c r="F1542" s="21">
        <v>8829</v>
      </c>
    </row>
    <row r="1543" spans="2:6" x14ac:dyDescent="0.25">
      <c r="B1543" s="18" t="s">
        <v>10</v>
      </c>
      <c r="C1543" s="19">
        <f>40839+(3*365)</f>
        <v>41934</v>
      </c>
      <c r="D1543" s="18" t="s">
        <v>65</v>
      </c>
      <c r="E1543" s="18" t="s">
        <v>69</v>
      </c>
      <c r="F1543" s="21">
        <v>3078</v>
      </c>
    </row>
    <row r="1544" spans="2:6" x14ac:dyDescent="0.25">
      <c r="B1544" s="18" t="s">
        <v>21</v>
      </c>
      <c r="C1544" s="19">
        <f>40230+(3*365)</f>
        <v>41325</v>
      </c>
      <c r="D1544" s="18" t="s">
        <v>58</v>
      </c>
      <c r="E1544" s="18" t="s">
        <v>64</v>
      </c>
      <c r="F1544" s="21">
        <v>2570</v>
      </c>
    </row>
    <row r="1545" spans="2:6" x14ac:dyDescent="0.25">
      <c r="B1545" s="18" t="s">
        <v>11</v>
      </c>
      <c r="C1545" s="19">
        <f>40763+(3*365)</f>
        <v>41858</v>
      </c>
      <c r="D1545" s="18" t="s">
        <v>74</v>
      </c>
      <c r="E1545" s="18" t="s">
        <v>69</v>
      </c>
      <c r="F1545" s="21">
        <v>3510</v>
      </c>
    </row>
    <row r="1546" spans="2:6" x14ac:dyDescent="0.25">
      <c r="B1546" s="18" t="s">
        <v>10</v>
      </c>
      <c r="C1546" s="19">
        <f>41043+(3*365)</f>
        <v>42138</v>
      </c>
      <c r="D1546" s="18" t="s">
        <v>65</v>
      </c>
      <c r="E1546" s="18" t="s">
        <v>63</v>
      </c>
      <c r="F1546" s="21">
        <v>372</v>
      </c>
    </row>
    <row r="1547" spans="2:6" x14ac:dyDescent="0.25">
      <c r="B1547" s="18" t="s">
        <v>8</v>
      </c>
      <c r="C1547" s="19">
        <f>40497+(3*365)</f>
        <v>41592</v>
      </c>
      <c r="D1547" s="18" t="s">
        <v>77</v>
      </c>
      <c r="E1547" s="18" t="s">
        <v>59</v>
      </c>
      <c r="F1547" s="21">
        <v>768</v>
      </c>
    </row>
    <row r="1548" spans="2:6" x14ac:dyDescent="0.25">
      <c r="B1548" s="18" t="s">
        <v>31</v>
      </c>
      <c r="C1548" s="19">
        <f>40516+(3*365)</f>
        <v>41611</v>
      </c>
      <c r="D1548" s="18" t="s">
        <v>76</v>
      </c>
      <c r="E1548" s="18" t="s">
        <v>64</v>
      </c>
      <c r="F1548" s="21">
        <v>1407</v>
      </c>
    </row>
    <row r="1549" spans="2:6" x14ac:dyDescent="0.25">
      <c r="B1549" s="18" t="s">
        <v>8</v>
      </c>
      <c r="C1549" s="19">
        <f>40698+(3*365)</f>
        <v>41793</v>
      </c>
      <c r="D1549" s="18" t="s">
        <v>81</v>
      </c>
      <c r="E1549" s="18" t="s">
        <v>59</v>
      </c>
      <c r="F1549" s="21">
        <v>1056</v>
      </c>
    </row>
    <row r="1550" spans="2:6" x14ac:dyDescent="0.25">
      <c r="B1550" s="18" t="s">
        <v>31</v>
      </c>
      <c r="C1550" s="19">
        <f>40743+(3*365)</f>
        <v>41838</v>
      </c>
      <c r="D1550" s="18" t="s">
        <v>76</v>
      </c>
      <c r="E1550" s="18" t="s">
        <v>66</v>
      </c>
      <c r="F1550" s="21">
        <v>828</v>
      </c>
    </row>
    <row r="1551" spans="2:6" x14ac:dyDescent="0.25">
      <c r="B1551" s="18" t="s">
        <v>31</v>
      </c>
      <c r="C1551" s="19">
        <f>40974+(3*365)</f>
        <v>42069</v>
      </c>
      <c r="D1551" s="18" t="s">
        <v>76</v>
      </c>
      <c r="E1551" s="18" t="s">
        <v>64</v>
      </c>
      <c r="F1551" s="21">
        <v>1857</v>
      </c>
    </row>
    <row r="1552" spans="2:6" x14ac:dyDescent="0.25">
      <c r="B1552" s="18" t="s">
        <v>18</v>
      </c>
      <c r="C1552" s="19">
        <f>40248+(3*365)</f>
        <v>41343</v>
      </c>
      <c r="D1552" s="18" t="s">
        <v>71</v>
      </c>
      <c r="E1552" s="18" t="s">
        <v>66</v>
      </c>
      <c r="F1552" s="21">
        <v>1152</v>
      </c>
    </row>
    <row r="1553" spans="2:6" x14ac:dyDescent="0.25">
      <c r="B1553" s="18" t="s">
        <v>21</v>
      </c>
      <c r="C1553" s="19">
        <f>40334+(3*365)</f>
        <v>41429</v>
      </c>
      <c r="D1553" s="18" t="s">
        <v>73</v>
      </c>
      <c r="E1553" s="18" t="s">
        <v>59</v>
      </c>
      <c r="F1553" s="21">
        <v>192</v>
      </c>
    </row>
    <row r="1554" spans="2:6" x14ac:dyDescent="0.25">
      <c r="B1554" s="18" t="s">
        <v>18</v>
      </c>
      <c r="C1554" s="19">
        <f>39924+(3*365)</f>
        <v>41019</v>
      </c>
      <c r="D1554" s="18" t="s">
        <v>68</v>
      </c>
      <c r="E1554" s="18" t="s">
        <v>75</v>
      </c>
      <c r="F1554" s="21">
        <v>272</v>
      </c>
    </row>
    <row r="1555" spans="2:6" x14ac:dyDescent="0.25">
      <c r="B1555" s="18" t="s">
        <v>11</v>
      </c>
      <c r="C1555" s="19">
        <f>40587+(3*365)</f>
        <v>41682</v>
      </c>
      <c r="D1555" s="18" t="s">
        <v>74</v>
      </c>
      <c r="E1555" s="18" t="s">
        <v>64</v>
      </c>
      <c r="F1555" s="21">
        <v>10656</v>
      </c>
    </row>
    <row r="1556" spans="2:6" x14ac:dyDescent="0.25">
      <c r="B1556" s="18" t="s">
        <v>25</v>
      </c>
      <c r="C1556" s="19">
        <f>40166+(3*365)</f>
        <v>41261</v>
      </c>
      <c r="D1556" s="18" t="s">
        <v>78</v>
      </c>
      <c r="E1556" s="18" t="s">
        <v>72</v>
      </c>
      <c r="F1556" s="21">
        <v>1224</v>
      </c>
    </row>
    <row r="1557" spans="2:6" x14ac:dyDescent="0.25">
      <c r="B1557" s="18" t="s">
        <v>9</v>
      </c>
      <c r="C1557" s="19">
        <f>41105+(3*365)</f>
        <v>42200</v>
      </c>
      <c r="D1557" s="18" t="s">
        <v>80</v>
      </c>
      <c r="E1557" s="18" t="s">
        <v>59</v>
      </c>
      <c r="F1557" s="21">
        <v>42</v>
      </c>
    </row>
    <row r="1558" spans="2:6" x14ac:dyDescent="0.25">
      <c r="B1558" s="18" t="s">
        <v>9</v>
      </c>
      <c r="C1558" s="19">
        <f>41131+(3*365)</f>
        <v>42226</v>
      </c>
      <c r="D1558" s="18" t="s">
        <v>80</v>
      </c>
      <c r="E1558" s="18" t="s">
        <v>66</v>
      </c>
      <c r="F1558" s="21">
        <v>592</v>
      </c>
    </row>
    <row r="1559" spans="2:6" x14ac:dyDescent="0.25">
      <c r="B1559" s="18" t="s">
        <v>21</v>
      </c>
      <c r="C1559" s="19">
        <f>40453+(3*365)</f>
        <v>41548</v>
      </c>
      <c r="D1559" s="18" t="s">
        <v>58</v>
      </c>
      <c r="E1559" s="18" t="s">
        <v>63</v>
      </c>
      <c r="F1559" s="21">
        <v>570</v>
      </c>
    </row>
    <row r="1560" spans="2:6" x14ac:dyDescent="0.25">
      <c r="B1560" s="18" t="s">
        <v>18</v>
      </c>
      <c r="C1560" s="19">
        <f>40095+(3*365)</f>
        <v>41190</v>
      </c>
      <c r="D1560" s="18" t="s">
        <v>71</v>
      </c>
      <c r="E1560" s="18" t="s">
        <v>59</v>
      </c>
      <c r="F1560" s="21">
        <v>168</v>
      </c>
    </row>
    <row r="1561" spans="2:6" x14ac:dyDescent="0.25">
      <c r="B1561" s="18" t="s">
        <v>10</v>
      </c>
      <c r="C1561" s="19">
        <f>40627+(3*365)</f>
        <v>41722</v>
      </c>
      <c r="D1561" s="18" t="s">
        <v>67</v>
      </c>
      <c r="E1561" s="18" t="s">
        <v>59</v>
      </c>
      <c r="F1561" s="21">
        <v>120</v>
      </c>
    </row>
    <row r="1562" spans="2:6" x14ac:dyDescent="0.25">
      <c r="B1562" s="18" t="s">
        <v>11</v>
      </c>
      <c r="C1562" s="19">
        <f>41098+(3*365)</f>
        <v>42193</v>
      </c>
      <c r="D1562" s="18" t="s">
        <v>74</v>
      </c>
      <c r="E1562" s="18" t="s">
        <v>66</v>
      </c>
      <c r="F1562" s="21">
        <v>432</v>
      </c>
    </row>
    <row r="1563" spans="2:6" x14ac:dyDescent="0.25">
      <c r="B1563" s="18" t="s">
        <v>21</v>
      </c>
      <c r="C1563" s="19">
        <f>40468+(3*365)</f>
        <v>41563</v>
      </c>
      <c r="D1563" s="18" t="s">
        <v>58</v>
      </c>
      <c r="E1563" s="18" t="s">
        <v>72</v>
      </c>
      <c r="F1563" s="21">
        <v>1680</v>
      </c>
    </row>
    <row r="1564" spans="2:6" x14ac:dyDescent="0.25">
      <c r="B1564" s="18" t="s">
        <v>8</v>
      </c>
      <c r="C1564" s="19">
        <f>39915+(3*365)</f>
        <v>41010</v>
      </c>
      <c r="D1564" s="18" t="s">
        <v>81</v>
      </c>
      <c r="E1564" s="18" t="s">
        <v>63</v>
      </c>
      <c r="F1564" s="21">
        <v>1242</v>
      </c>
    </row>
    <row r="1565" spans="2:6" x14ac:dyDescent="0.25">
      <c r="B1565" s="18" t="s">
        <v>31</v>
      </c>
      <c r="C1565" s="19">
        <f>41268+(3*365)</f>
        <v>42363</v>
      </c>
      <c r="D1565" s="18" t="s">
        <v>70</v>
      </c>
      <c r="E1565" s="18" t="s">
        <v>63</v>
      </c>
      <c r="F1565" s="21">
        <v>990</v>
      </c>
    </row>
    <row r="1566" spans="2:6" x14ac:dyDescent="0.25">
      <c r="B1566" s="18" t="s">
        <v>8</v>
      </c>
      <c r="C1566" s="19">
        <f>39993+(3*365)</f>
        <v>41088</v>
      </c>
      <c r="D1566" s="18" t="s">
        <v>77</v>
      </c>
      <c r="E1566" s="18" t="s">
        <v>69</v>
      </c>
      <c r="F1566" s="21">
        <v>597</v>
      </c>
    </row>
    <row r="1567" spans="2:6" x14ac:dyDescent="0.25">
      <c r="B1567" s="18" t="s">
        <v>18</v>
      </c>
      <c r="C1567" s="19">
        <f>40931+(3*365)</f>
        <v>42026</v>
      </c>
      <c r="D1567" s="18" t="s">
        <v>71</v>
      </c>
      <c r="E1567" s="18" t="s">
        <v>63</v>
      </c>
      <c r="F1567" s="21">
        <v>138</v>
      </c>
    </row>
    <row r="1568" spans="2:6" x14ac:dyDescent="0.25">
      <c r="B1568" s="18" t="s">
        <v>8</v>
      </c>
      <c r="C1568" s="19">
        <f>40224+(3*365)</f>
        <v>41319</v>
      </c>
      <c r="D1568" s="18" t="s">
        <v>77</v>
      </c>
      <c r="E1568" s="18" t="s">
        <v>72</v>
      </c>
      <c r="F1568" s="21">
        <v>1680</v>
      </c>
    </row>
    <row r="1569" spans="2:6" x14ac:dyDescent="0.25">
      <c r="B1569" s="18" t="s">
        <v>9</v>
      </c>
      <c r="C1569" s="19">
        <f>40558+(3*365)</f>
        <v>41653</v>
      </c>
      <c r="D1569" s="18" t="s">
        <v>62</v>
      </c>
      <c r="E1569" s="18" t="s">
        <v>75</v>
      </c>
      <c r="F1569" s="21">
        <v>378</v>
      </c>
    </row>
    <row r="1570" spans="2:6" x14ac:dyDescent="0.25">
      <c r="B1570" s="18" t="s">
        <v>9</v>
      </c>
      <c r="C1570" s="19">
        <f>39893+(3*365)</f>
        <v>40988</v>
      </c>
      <c r="D1570" s="18" t="s">
        <v>80</v>
      </c>
      <c r="E1570" s="18" t="s">
        <v>61</v>
      </c>
      <c r="F1570" s="21">
        <v>468</v>
      </c>
    </row>
    <row r="1571" spans="2:6" x14ac:dyDescent="0.25">
      <c r="B1571" s="18" t="s">
        <v>18</v>
      </c>
      <c r="C1571" s="19">
        <f>40839+(3*365)</f>
        <v>41934</v>
      </c>
      <c r="D1571" s="18" t="s">
        <v>71</v>
      </c>
      <c r="E1571" s="18" t="s">
        <v>69</v>
      </c>
      <c r="F1571" s="21">
        <v>5656</v>
      </c>
    </row>
    <row r="1572" spans="2:6" x14ac:dyDescent="0.25">
      <c r="B1572" s="18" t="s">
        <v>18</v>
      </c>
      <c r="C1572" s="19">
        <f>40188+(3*365)</f>
        <v>41283</v>
      </c>
      <c r="D1572" s="18" t="s">
        <v>68</v>
      </c>
      <c r="E1572" s="18" t="s">
        <v>72</v>
      </c>
      <c r="F1572" s="21">
        <v>2133</v>
      </c>
    </row>
    <row r="1573" spans="2:6" x14ac:dyDescent="0.25">
      <c r="B1573" s="18" t="s">
        <v>11</v>
      </c>
      <c r="C1573" s="19">
        <f>39970+(3*365)</f>
        <v>41065</v>
      </c>
      <c r="D1573" s="18" t="s">
        <v>74</v>
      </c>
      <c r="E1573" s="18" t="s">
        <v>75</v>
      </c>
      <c r="F1573" s="21">
        <v>132</v>
      </c>
    </row>
    <row r="1574" spans="2:6" x14ac:dyDescent="0.25">
      <c r="B1574" s="18" t="s">
        <v>25</v>
      </c>
      <c r="C1574" s="19">
        <f>40360+(3*365)</f>
        <v>41455</v>
      </c>
      <c r="D1574" s="18" t="s">
        <v>78</v>
      </c>
      <c r="E1574" s="18" t="s">
        <v>63</v>
      </c>
      <c r="F1574" s="21">
        <v>1134</v>
      </c>
    </row>
    <row r="1575" spans="2:6" x14ac:dyDescent="0.25">
      <c r="B1575" s="18" t="s">
        <v>10</v>
      </c>
      <c r="C1575" s="19">
        <f>40034+(3*365)</f>
        <v>41129</v>
      </c>
      <c r="D1575" s="18" t="s">
        <v>65</v>
      </c>
      <c r="E1575" s="18" t="s">
        <v>64</v>
      </c>
      <c r="F1575" s="21">
        <v>8704</v>
      </c>
    </row>
    <row r="1576" spans="2:6" x14ac:dyDescent="0.25">
      <c r="B1576" s="18" t="s">
        <v>31</v>
      </c>
      <c r="C1576" s="19">
        <f>40049+(3*365)</f>
        <v>41144</v>
      </c>
      <c r="D1576" s="18" t="s">
        <v>70</v>
      </c>
      <c r="E1576" s="18" t="s">
        <v>75</v>
      </c>
      <c r="F1576" s="21">
        <v>666</v>
      </c>
    </row>
    <row r="1577" spans="2:6" x14ac:dyDescent="0.25">
      <c r="B1577" s="18" t="s">
        <v>18</v>
      </c>
      <c r="C1577" s="19">
        <f>40492+(3*365)</f>
        <v>41587</v>
      </c>
      <c r="D1577" s="18" t="s">
        <v>68</v>
      </c>
      <c r="E1577" s="18" t="s">
        <v>72</v>
      </c>
      <c r="F1577" s="21">
        <v>5376</v>
      </c>
    </row>
    <row r="1578" spans="2:6" x14ac:dyDescent="0.25">
      <c r="B1578" s="18" t="s">
        <v>21</v>
      </c>
      <c r="C1578" s="19">
        <f>41053+(3*365)</f>
        <v>42148</v>
      </c>
      <c r="D1578" s="18" t="s">
        <v>58</v>
      </c>
      <c r="E1578" s="18" t="s">
        <v>69</v>
      </c>
      <c r="F1578" s="21">
        <v>500</v>
      </c>
    </row>
    <row r="1579" spans="2:6" x14ac:dyDescent="0.25">
      <c r="B1579" s="18" t="s">
        <v>9</v>
      </c>
      <c r="C1579" s="19">
        <f>40650+(3*365)</f>
        <v>41745</v>
      </c>
      <c r="D1579" s="18" t="s">
        <v>62</v>
      </c>
      <c r="E1579" s="18" t="s">
        <v>61</v>
      </c>
      <c r="F1579" s="21">
        <v>1188</v>
      </c>
    </row>
    <row r="1580" spans="2:6" x14ac:dyDescent="0.25">
      <c r="B1580" s="18" t="s">
        <v>21</v>
      </c>
      <c r="C1580" s="19">
        <f>40653+(3*365)</f>
        <v>41748</v>
      </c>
      <c r="D1580" s="18" t="s">
        <v>73</v>
      </c>
      <c r="E1580" s="18" t="s">
        <v>59</v>
      </c>
      <c r="F1580" s="21">
        <v>252</v>
      </c>
    </row>
    <row r="1581" spans="2:6" x14ac:dyDescent="0.25">
      <c r="B1581" s="18" t="s">
        <v>11</v>
      </c>
      <c r="C1581" s="19">
        <f>40467+(3*365)</f>
        <v>41562</v>
      </c>
      <c r="D1581" s="18" t="s">
        <v>60</v>
      </c>
      <c r="E1581" s="18" t="s">
        <v>64</v>
      </c>
      <c r="F1581" s="21">
        <v>5460</v>
      </c>
    </row>
    <row r="1582" spans="2:6" x14ac:dyDescent="0.25">
      <c r="B1582" s="18" t="s">
        <v>31</v>
      </c>
      <c r="C1582" s="19">
        <f>40172+(3*365)</f>
        <v>41267</v>
      </c>
      <c r="D1582" s="18" t="s">
        <v>70</v>
      </c>
      <c r="E1582" s="18" t="s">
        <v>64</v>
      </c>
      <c r="F1582" s="21">
        <v>13398</v>
      </c>
    </row>
    <row r="1583" spans="2:6" x14ac:dyDescent="0.25">
      <c r="B1583" s="18" t="s">
        <v>8</v>
      </c>
      <c r="C1583" s="19">
        <f>40316+(3*365)</f>
        <v>41411</v>
      </c>
      <c r="D1583" s="18" t="s">
        <v>77</v>
      </c>
      <c r="E1583" s="18" t="s">
        <v>63</v>
      </c>
      <c r="F1583" s="21">
        <v>1848</v>
      </c>
    </row>
    <row r="1584" spans="2:6" x14ac:dyDescent="0.25">
      <c r="B1584" s="18" t="s">
        <v>9</v>
      </c>
      <c r="C1584" s="19">
        <f>39990+(3*365)</f>
        <v>41085</v>
      </c>
      <c r="D1584" s="18" t="s">
        <v>62</v>
      </c>
      <c r="E1584" s="18" t="s">
        <v>63</v>
      </c>
      <c r="F1584" s="21">
        <v>132</v>
      </c>
    </row>
    <row r="1585" spans="2:6" x14ac:dyDescent="0.25">
      <c r="B1585" s="18" t="s">
        <v>31</v>
      </c>
      <c r="C1585" s="19">
        <f>40838+(3*365)</f>
        <v>41933</v>
      </c>
      <c r="D1585" s="18" t="s">
        <v>76</v>
      </c>
      <c r="E1585" s="18" t="s">
        <v>66</v>
      </c>
      <c r="F1585" s="21">
        <v>1050</v>
      </c>
    </row>
    <row r="1586" spans="2:6" x14ac:dyDescent="0.25">
      <c r="B1586" s="18" t="s">
        <v>8</v>
      </c>
      <c r="C1586" s="19">
        <f>40060+(3*365)</f>
        <v>41155</v>
      </c>
      <c r="D1586" s="18" t="s">
        <v>81</v>
      </c>
      <c r="E1586" s="18" t="s">
        <v>59</v>
      </c>
      <c r="F1586" s="21">
        <v>408</v>
      </c>
    </row>
    <row r="1587" spans="2:6" x14ac:dyDescent="0.25">
      <c r="B1587" s="18" t="s">
        <v>11</v>
      </c>
      <c r="C1587" s="19">
        <f>40246+(3*365)</f>
        <v>41341</v>
      </c>
      <c r="D1587" s="18" t="s">
        <v>74</v>
      </c>
      <c r="E1587" s="18" t="s">
        <v>61</v>
      </c>
      <c r="F1587" s="21">
        <v>810</v>
      </c>
    </row>
    <row r="1588" spans="2:6" x14ac:dyDescent="0.25">
      <c r="B1588" s="18" t="s">
        <v>9</v>
      </c>
      <c r="C1588" s="19">
        <f>39942+(3*365)</f>
        <v>41037</v>
      </c>
      <c r="D1588" s="18" t="s">
        <v>62</v>
      </c>
      <c r="E1588" s="18" t="s">
        <v>75</v>
      </c>
      <c r="F1588" s="21">
        <v>40</v>
      </c>
    </row>
    <row r="1589" spans="2:6" x14ac:dyDescent="0.25">
      <c r="B1589" s="18" t="s">
        <v>31</v>
      </c>
      <c r="C1589" s="19">
        <f>40458+(3*365)</f>
        <v>41553</v>
      </c>
      <c r="D1589" s="18" t="s">
        <v>76</v>
      </c>
      <c r="E1589" s="18" t="s">
        <v>69</v>
      </c>
      <c r="F1589" s="21">
        <v>984</v>
      </c>
    </row>
    <row r="1590" spans="2:6" x14ac:dyDescent="0.25">
      <c r="B1590" s="18" t="s">
        <v>31</v>
      </c>
      <c r="C1590" s="19">
        <f>40910+(3*365)</f>
        <v>42005</v>
      </c>
      <c r="D1590" s="18" t="s">
        <v>70</v>
      </c>
      <c r="E1590" s="18" t="s">
        <v>75</v>
      </c>
      <c r="F1590" s="21">
        <v>105</v>
      </c>
    </row>
    <row r="1591" spans="2:6" x14ac:dyDescent="0.25">
      <c r="B1591" s="18" t="s">
        <v>10</v>
      </c>
      <c r="C1591" s="19">
        <f>40690+(3*365)</f>
        <v>41785</v>
      </c>
      <c r="D1591" s="18" t="s">
        <v>65</v>
      </c>
      <c r="E1591" s="18" t="s">
        <v>63</v>
      </c>
      <c r="F1591" s="21">
        <v>360</v>
      </c>
    </row>
    <row r="1592" spans="2:6" x14ac:dyDescent="0.25">
      <c r="B1592" s="18" t="s">
        <v>11</v>
      </c>
      <c r="C1592" s="19">
        <f>40262+(3*365)</f>
        <v>41357</v>
      </c>
      <c r="D1592" s="18" t="s">
        <v>60</v>
      </c>
      <c r="E1592" s="18" t="s">
        <v>69</v>
      </c>
      <c r="F1592" s="21">
        <v>2178</v>
      </c>
    </row>
    <row r="1593" spans="2:6" x14ac:dyDescent="0.25">
      <c r="B1593" s="18" t="s">
        <v>25</v>
      </c>
      <c r="C1593" s="19">
        <f>40733+(3*365)</f>
        <v>41828</v>
      </c>
      <c r="D1593" s="18" t="s">
        <v>78</v>
      </c>
      <c r="E1593" s="18" t="s">
        <v>64</v>
      </c>
      <c r="F1593" s="21">
        <v>25776</v>
      </c>
    </row>
    <row r="1594" spans="2:6" x14ac:dyDescent="0.25">
      <c r="B1594" s="18" t="s">
        <v>21</v>
      </c>
      <c r="C1594" s="19">
        <f>39949+(3*365)</f>
        <v>41044</v>
      </c>
      <c r="D1594" s="18" t="s">
        <v>73</v>
      </c>
      <c r="E1594" s="18" t="s">
        <v>63</v>
      </c>
      <c r="F1594" s="21">
        <v>512</v>
      </c>
    </row>
    <row r="1595" spans="2:6" x14ac:dyDescent="0.25">
      <c r="B1595" s="18" t="s">
        <v>8</v>
      </c>
      <c r="C1595" s="19">
        <f>39988+(3*365)</f>
        <v>41083</v>
      </c>
      <c r="D1595" s="18" t="s">
        <v>81</v>
      </c>
      <c r="E1595" s="18" t="s">
        <v>66</v>
      </c>
      <c r="F1595" s="21">
        <v>1134</v>
      </c>
    </row>
    <row r="1596" spans="2:6" x14ac:dyDescent="0.25">
      <c r="B1596" s="18" t="s">
        <v>8</v>
      </c>
      <c r="C1596" s="19">
        <f>41135+(3*365)</f>
        <v>42230</v>
      </c>
      <c r="D1596" s="18" t="s">
        <v>81</v>
      </c>
      <c r="E1596" s="18" t="s">
        <v>69</v>
      </c>
      <c r="F1596" s="21">
        <v>1040</v>
      </c>
    </row>
    <row r="1597" spans="2:6" x14ac:dyDescent="0.25">
      <c r="B1597" s="18" t="s">
        <v>31</v>
      </c>
      <c r="C1597" s="19">
        <f>41059+(3*365)</f>
        <v>42154</v>
      </c>
      <c r="D1597" s="18" t="s">
        <v>70</v>
      </c>
      <c r="E1597" s="18" t="s">
        <v>61</v>
      </c>
      <c r="F1597" s="21">
        <v>192</v>
      </c>
    </row>
    <row r="1598" spans="2:6" x14ac:dyDescent="0.25">
      <c r="B1598" s="18" t="s">
        <v>8</v>
      </c>
      <c r="C1598" s="19">
        <f>40411+(3*365)</f>
        <v>41506</v>
      </c>
      <c r="D1598" s="18" t="s">
        <v>81</v>
      </c>
      <c r="E1598" s="18" t="s">
        <v>69</v>
      </c>
      <c r="F1598" s="21">
        <v>212</v>
      </c>
    </row>
    <row r="1599" spans="2:6" x14ac:dyDescent="0.25">
      <c r="B1599" s="18" t="s">
        <v>10</v>
      </c>
      <c r="C1599" s="19">
        <f>41067+(3*365)</f>
        <v>42162</v>
      </c>
      <c r="D1599" s="18" t="s">
        <v>65</v>
      </c>
      <c r="E1599" s="18" t="s">
        <v>72</v>
      </c>
      <c r="F1599" s="21">
        <v>2088</v>
      </c>
    </row>
    <row r="1600" spans="2:6" x14ac:dyDescent="0.25">
      <c r="B1600" s="18" t="s">
        <v>21</v>
      </c>
      <c r="C1600" s="19">
        <f>40974+(3*365)</f>
        <v>42069</v>
      </c>
      <c r="D1600" s="18" t="s">
        <v>58</v>
      </c>
      <c r="E1600" s="18" t="s">
        <v>61</v>
      </c>
      <c r="F1600" s="21">
        <v>456</v>
      </c>
    </row>
    <row r="1601" spans="2:6" x14ac:dyDescent="0.25">
      <c r="B1601" s="18" t="s">
        <v>8</v>
      </c>
      <c r="C1601" s="19">
        <f>41140+(3*365)</f>
        <v>42235</v>
      </c>
      <c r="D1601" s="18" t="s">
        <v>77</v>
      </c>
      <c r="E1601" s="18" t="s">
        <v>72</v>
      </c>
      <c r="F1601" s="21">
        <v>756</v>
      </c>
    </row>
    <row r="1602" spans="2:6" x14ac:dyDescent="0.25">
      <c r="B1602" s="18" t="s">
        <v>9</v>
      </c>
      <c r="C1602" s="19">
        <f>40458+(3*365)</f>
        <v>41553</v>
      </c>
      <c r="D1602" s="18" t="s">
        <v>80</v>
      </c>
      <c r="E1602" s="18" t="s">
        <v>75</v>
      </c>
      <c r="F1602" s="21">
        <v>300</v>
      </c>
    </row>
    <row r="1603" spans="2:6" x14ac:dyDescent="0.25">
      <c r="B1603" s="18" t="s">
        <v>25</v>
      </c>
      <c r="C1603" s="19">
        <f>40848+(3*365)</f>
        <v>41943</v>
      </c>
      <c r="D1603" s="18" t="s">
        <v>79</v>
      </c>
      <c r="E1603" s="18" t="s">
        <v>66</v>
      </c>
      <c r="F1603" s="21">
        <v>760</v>
      </c>
    </row>
    <row r="1604" spans="2:6" x14ac:dyDescent="0.25">
      <c r="B1604" s="18" t="s">
        <v>11</v>
      </c>
      <c r="C1604" s="19">
        <f>40393+(3*365)</f>
        <v>41488</v>
      </c>
      <c r="D1604" s="18" t="s">
        <v>60</v>
      </c>
      <c r="E1604" s="18" t="s">
        <v>69</v>
      </c>
      <c r="F1604" s="21">
        <v>840</v>
      </c>
    </row>
    <row r="1605" spans="2:6" x14ac:dyDescent="0.25">
      <c r="B1605" s="18" t="s">
        <v>10</v>
      </c>
      <c r="C1605" s="19">
        <f>40263+(3*365)</f>
        <v>41358</v>
      </c>
      <c r="D1605" s="18" t="s">
        <v>67</v>
      </c>
      <c r="E1605" s="18" t="s">
        <v>69</v>
      </c>
      <c r="F1605" s="21">
        <v>1116</v>
      </c>
    </row>
    <row r="1606" spans="2:6" x14ac:dyDescent="0.25">
      <c r="B1606" s="18" t="s">
        <v>31</v>
      </c>
      <c r="C1606" s="19">
        <f>40789+(3*365)</f>
        <v>41884</v>
      </c>
      <c r="D1606" s="18" t="s">
        <v>70</v>
      </c>
      <c r="E1606" s="18" t="s">
        <v>59</v>
      </c>
      <c r="F1606" s="21">
        <v>342</v>
      </c>
    </row>
    <row r="1607" spans="2:6" x14ac:dyDescent="0.25">
      <c r="B1607" s="18" t="s">
        <v>25</v>
      </c>
      <c r="C1607" s="19">
        <f>40832+(3*365)</f>
        <v>41927</v>
      </c>
      <c r="D1607" s="18" t="s">
        <v>79</v>
      </c>
      <c r="E1607" s="18" t="s">
        <v>72</v>
      </c>
      <c r="F1607" s="21">
        <v>4740</v>
      </c>
    </row>
    <row r="1608" spans="2:6" x14ac:dyDescent="0.25">
      <c r="B1608" s="18" t="s">
        <v>9</v>
      </c>
      <c r="C1608" s="19">
        <f>41273+(3*365)</f>
        <v>42368</v>
      </c>
      <c r="D1608" s="18" t="s">
        <v>80</v>
      </c>
      <c r="E1608" s="18" t="s">
        <v>63</v>
      </c>
      <c r="F1608" s="21">
        <v>270</v>
      </c>
    </row>
    <row r="1609" spans="2:6" x14ac:dyDescent="0.25">
      <c r="B1609" s="18" t="s">
        <v>18</v>
      </c>
      <c r="C1609" s="19">
        <f>41133+(3*365)</f>
        <v>42228</v>
      </c>
      <c r="D1609" s="18" t="s">
        <v>71</v>
      </c>
      <c r="E1609" s="18" t="s">
        <v>69</v>
      </c>
      <c r="F1609" s="21">
        <v>5400</v>
      </c>
    </row>
    <row r="1610" spans="2:6" x14ac:dyDescent="0.25">
      <c r="B1610" s="18" t="s">
        <v>31</v>
      </c>
      <c r="C1610" s="19">
        <f>41074+(3*365)</f>
        <v>42169</v>
      </c>
      <c r="D1610" s="18" t="s">
        <v>76</v>
      </c>
      <c r="E1610" s="18" t="s">
        <v>69</v>
      </c>
      <c r="F1610" s="21">
        <v>2457</v>
      </c>
    </row>
    <row r="1611" spans="2:6" x14ac:dyDescent="0.25">
      <c r="B1611" s="18" t="s">
        <v>11</v>
      </c>
      <c r="C1611" s="19">
        <f>41084+(3*365)</f>
        <v>42179</v>
      </c>
      <c r="D1611" s="18" t="s">
        <v>60</v>
      </c>
      <c r="E1611" s="18" t="s">
        <v>61</v>
      </c>
      <c r="F1611" s="21">
        <v>1260</v>
      </c>
    </row>
    <row r="1612" spans="2:6" x14ac:dyDescent="0.25">
      <c r="B1612" s="18" t="s">
        <v>8</v>
      </c>
      <c r="C1612" s="19">
        <f>40454+(3*365)</f>
        <v>41549</v>
      </c>
      <c r="D1612" s="18" t="s">
        <v>81</v>
      </c>
      <c r="E1612" s="18" t="s">
        <v>63</v>
      </c>
      <c r="F1612" s="21">
        <v>384</v>
      </c>
    </row>
    <row r="1613" spans="2:6" x14ac:dyDescent="0.25">
      <c r="B1613" s="18" t="s">
        <v>31</v>
      </c>
      <c r="C1613" s="19">
        <f>40377+(3*365)</f>
        <v>41472</v>
      </c>
      <c r="D1613" s="18" t="s">
        <v>76</v>
      </c>
      <c r="E1613" s="18" t="s">
        <v>75</v>
      </c>
      <c r="F1613" s="21">
        <v>672</v>
      </c>
    </row>
    <row r="1614" spans="2:6" x14ac:dyDescent="0.25">
      <c r="B1614" s="18" t="s">
        <v>25</v>
      </c>
      <c r="C1614" s="19">
        <f>40162+(3*365)</f>
        <v>41257</v>
      </c>
      <c r="D1614" s="18" t="s">
        <v>79</v>
      </c>
      <c r="E1614" s="18" t="s">
        <v>72</v>
      </c>
      <c r="F1614" s="21">
        <v>2072</v>
      </c>
    </row>
    <row r="1615" spans="2:6" x14ac:dyDescent="0.25">
      <c r="B1615" s="18" t="s">
        <v>25</v>
      </c>
      <c r="C1615" s="19">
        <f>40886+(3*365)</f>
        <v>41981</v>
      </c>
      <c r="D1615" s="18" t="s">
        <v>78</v>
      </c>
      <c r="E1615" s="18" t="s">
        <v>66</v>
      </c>
      <c r="F1615" s="21">
        <v>264</v>
      </c>
    </row>
    <row r="1616" spans="2:6" x14ac:dyDescent="0.25">
      <c r="B1616" s="18" t="s">
        <v>25</v>
      </c>
      <c r="C1616" s="19">
        <f>40008+(3*365)</f>
        <v>41103</v>
      </c>
      <c r="D1616" s="18" t="s">
        <v>79</v>
      </c>
      <c r="E1616" s="18" t="s">
        <v>61</v>
      </c>
      <c r="F1616" s="21">
        <v>672</v>
      </c>
    </row>
    <row r="1617" spans="2:6" x14ac:dyDescent="0.25">
      <c r="B1617" s="18" t="s">
        <v>31</v>
      </c>
      <c r="C1617" s="19">
        <f>40823+(3*365)</f>
        <v>41918</v>
      </c>
      <c r="D1617" s="18" t="s">
        <v>70</v>
      </c>
      <c r="E1617" s="18" t="s">
        <v>59</v>
      </c>
      <c r="F1617" s="21">
        <v>270</v>
      </c>
    </row>
    <row r="1618" spans="2:6" x14ac:dyDescent="0.25">
      <c r="B1618" s="18" t="s">
        <v>31</v>
      </c>
      <c r="C1618" s="19">
        <f>41032+(3*365)</f>
        <v>42127</v>
      </c>
      <c r="D1618" s="18" t="s">
        <v>76</v>
      </c>
      <c r="E1618" s="18" t="s">
        <v>75</v>
      </c>
      <c r="F1618" s="21">
        <v>297</v>
      </c>
    </row>
    <row r="1619" spans="2:6" x14ac:dyDescent="0.25">
      <c r="B1619" s="18" t="s">
        <v>21</v>
      </c>
      <c r="C1619" s="19">
        <f>40684+(3*365)</f>
        <v>41779</v>
      </c>
      <c r="D1619" s="18" t="s">
        <v>58</v>
      </c>
      <c r="E1619" s="18" t="s">
        <v>64</v>
      </c>
      <c r="F1619" s="21">
        <v>14448</v>
      </c>
    </row>
    <row r="1620" spans="2:6" x14ac:dyDescent="0.25">
      <c r="B1620" s="18" t="s">
        <v>18</v>
      </c>
      <c r="C1620" s="19">
        <f>40088+(3*365)</f>
        <v>41183</v>
      </c>
      <c r="D1620" s="18" t="s">
        <v>71</v>
      </c>
      <c r="E1620" s="18" t="s">
        <v>75</v>
      </c>
      <c r="F1620" s="21">
        <v>448</v>
      </c>
    </row>
    <row r="1621" spans="2:6" x14ac:dyDescent="0.25">
      <c r="B1621" s="18" t="s">
        <v>11</v>
      </c>
      <c r="C1621" s="19">
        <f>40896+(3*365)</f>
        <v>41991</v>
      </c>
      <c r="D1621" s="18" t="s">
        <v>74</v>
      </c>
      <c r="E1621" s="18" t="s">
        <v>64</v>
      </c>
      <c r="F1621" s="21">
        <v>12123</v>
      </c>
    </row>
    <row r="1622" spans="2:6" x14ac:dyDescent="0.25">
      <c r="B1622" s="18" t="s">
        <v>11</v>
      </c>
      <c r="C1622" s="19">
        <f>40515+(3*365)</f>
        <v>41610</v>
      </c>
      <c r="D1622" s="18" t="s">
        <v>74</v>
      </c>
      <c r="E1622" s="18" t="s">
        <v>72</v>
      </c>
      <c r="F1622" s="21">
        <v>1170</v>
      </c>
    </row>
    <row r="1623" spans="2:6" x14ac:dyDescent="0.25">
      <c r="B1623" s="18" t="s">
        <v>25</v>
      </c>
      <c r="C1623" s="19">
        <f>40895+(3*365)</f>
        <v>41990</v>
      </c>
      <c r="D1623" s="18" t="s">
        <v>78</v>
      </c>
      <c r="E1623" s="18" t="s">
        <v>64</v>
      </c>
      <c r="F1623" s="21">
        <v>8232</v>
      </c>
    </row>
    <row r="1624" spans="2:6" x14ac:dyDescent="0.25">
      <c r="B1624" s="18" t="s">
        <v>9</v>
      </c>
      <c r="C1624" s="19">
        <f>40540+(3*365)</f>
        <v>41635</v>
      </c>
      <c r="D1624" s="18" t="s">
        <v>80</v>
      </c>
      <c r="E1624" s="18" t="s">
        <v>69</v>
      </c>
      <c r="F1624" s="21">
        <v>336</v>
      </c>
    </row>
    <row r="1625" spans="2:6" x14ac:dyDescent="0.25">
      <c r="B1625" s="18" t="s">
        <v>9</v>
      </c>
      <c r="C1625" s="19">
        <f>41237+(3*365)</f>
        <v>42332</v>
      </c>
      <c r="D1625" s="18" t="s">
        <v>80</v>
      </c>
      <c r="E1625" s="18" t="s">
        <v>69</v>
      </c>
      <c r="F1625" s="21">
        <v>792</v>
      </c>
    </row>
    <row r="1626" spans="2:6" x14ac:dyDescent="0.25">
      <c r="B1626" s="18" t="s">
        <v>31</v>
      </c>
      <c r="C1626" s="19">
        <f>41031+(3*365)</f>
        <v>42126</v>
      </c>
      <c r="D1626" s="18" t="s">
        <v>70</v>
      </c>
      <c r="E1626" s="18" t="s">
        <v>63</v>
      </c>
      <c r="F1626" s="21">
        <v>450</v>
      </c>
    </row>
    <row r="1627" spans="2:6" x14ac:dyDescent="0.25">
      <c r="B1627" s="18" t="s">
        <v>18</v>
      </c>
      <c r="C1627" s="19">
        <f>40191+(3*365)</f>
        <v>41286</v>
      </c>
      <c r="D1627" s="18" t="s">
        <v>71</v>
      </c>
      <c r="E1627" s="18" t="s">
        <v>63</v>
      </c>
      <c r="F1627" s="21">
        <v>1035</v>
      </c>
    </row>
    <row r="1628" spans="2:6" x14ac:dyDescent="0.25">
      <c r="B1628" s="18" t="s">
        <v>31</v>
      </c>
      <c r="C1628" s="19">
        <f>40930+(3*365)</f>
        <v>42025</v>
      </c>
      <c r="D1628" s="18" t="s">
        <v>70</v>
      </c>
      <c r="E1628" s="18" t="s">
        <v>59</v>
      </c>
      <c r="F1628" s="21">
        <v>756</v>
      </c>
    </row>
    <row r="1629" spans="2:6" x14ac:dyDescent="0.25">
      <c r="B1629" s="18" t="s">
        <v>25</v>
      </c>
      <c r="C1629" s="19">
        <f>40293+(3*365)</f>
        <v>41388</v>
      </c>
      <c r="D1629" s="18" t="s">
        <v>79</v>
      </c>
      <c r="E1629" s="18" t="s">
        <v>64</v>
      </c>
      <c r="F1629" s="21">
        <v>11991</v>
      </c>
    </row>
    <row r="1630" spans="2:6" x14ac:dyDescent="0.25">
      <c r="B1630" s="18" t="s">
        <v>8</v>
      </c>
      <c r="C1630" s="19">
        <f>40056+(3*365)</f>
        <v>41151</v>
      </c>
      <c r="D1630" s="18" t="s">
        <v>77</v>
      </c>
      <c r="E1630" s="18" t="s">
        <v>66</v>
      </c>
      <c r="F1630" s="21">
        <v>1992</v>
      </c>
    </row>
    <row r="1631" spans="2:6" x14ac:dyDescent="0.25">
      <c r="B1631" s="18" t="s">
        <v>8</v>
      </c>
      <c r="C1631" s="19">
        <f>40718+(3*365)</f>
        <v>41813</v>
      </c>
      <c r="D1631" s="18" t="s">
        <v>77</v>
      </c>
      <c r="E1631" s="18" t="s">
        <v>63</v>
      </c>
      <c r="F1631" s="21">
        <v>608</v>
      </c>
    </row>
    <row r="1632" spans="2:6" x14ac:dyDescent="0.25">
      <c r="B1632" s="18" t="s">
        <v>8</v>
      </c>
      <c r="C1632" s="19">
        <f>39960+(3*365)</f>
        <v>41055</v>
      </c>
      <c r="D1632" s="18" t="s">
        <v>81</v>
      </c>
      <c r="E1632" s="18" t="s">
        <v>59</v>
      </c>
      <c r="F1632" s="21">
        <v>84</v>
      </c>
    </row>
    <row r="1633" spans="2:6" x14ac:dyDescent="0.25">
      <c r="B1633" s="18" t="s">
        <v>11</v>
      </c>
      <c r="C1633" s="19">
        <f>39919+(3*365)</f>
        <v>41014</v>
      </c>
      <c r="D1633" s="18" t="s">
        <v>60</v>
      </c>
      <c r="E1633" s="18" t="s">
        <v>72</v>
      </c>
      <c r="F1633" s="21">
        <v>498</v>
      </c>
    </row>
    <row r="1634" spans="2:6" x14ac:dyDescent="0.25">
      <c r="B1634" s="18" t="s">
        <v>25</v>
      </c>
      <c r="C1634" s="19">
        <f>41005+(3*365)</f>
        <v>42100</v>
      </c>
      <c r="D1634" s="18" t="s">
        <v>79</v>
      </c>
      <c r="E1634" s="18" t="s">
        <v>72</v>
      </c>
      <c r="F1634" s="21">
        <v>3582</v>
      </c>
    </row>
    <row r="1635" spans="2:6" x14ac:dyDescent="0.25">
      <c r="B1635" s="18" t="s">
        <v>25</v>
      </c>
      <c r="C1635" s="19">
        <f>39938+(3*365)</f>
        <v>41033</v>
      </c>
      <c r="D1635" s="18" t="s">
        <v>78</v>
      </c>
      <c r="E1635" s="18" t="s">
        <v>59</v>
      </c>
      <c r="F1635" s="21">
        <v>648</v>
      </c>
    </row>
    <row r="1636" spans="2:6" x14ac:dyDescent="0.25">
      <c r="B1636" s="18" t="s">
        <v>18</v>
      </c>
      <c r="C1636" s="19">
        <f>40567+(3*365)</f>
        <v>41662</v>
      </c>
      <c r="D1636" s="18" t="s">
        <v>71</v>
      </c>
      <c r="E1636" s="18" t="s">
        <v>75</v>
      </c>
      <c r="F1636" s="21">
        <v>160</v>
      </c>
    </row>
    <row r="1637" spans="2:6" x14ac:dyDescent="0.25">
      <c r="B1637" s="18" t="s">
        <v>21</v>
      </c>
      <c r="C1637" s="19">
        <f>40629+(3*365)</f>
        <v>41724</v>
      </c>
      <c r="D1637" s="18" t="s">
        <v>73</v>
      </c>
      <c r="E1637" s="18" t="s">
        <v>59</v>
      </c>
      <c r="F1637" s="21">
        <v>342</v>
      </c>
    </row>
    <row r="1638" spans="2:6" x14ac:dyDescent="0.25">
      <c r="B1638" s="18" t="s">
        <v>8</v>
      </c>
      <c r="C1638" s="19">
        <f>40282+(3*365)</f>
        <v>41377</v>
      </c>
      <c r="D1638" s="18" t="s">
        <v>81</v>
      </c>
      <c r="E1638" s="18" t="s">
        <v>69</v>
      </c>
      <c r="F1638" s="21">
        <v>2412</v>
      </c>
    </row>
    <row r="1639" spans="2:6" x14ac:dyDescent="0.25">
      <c r="B1639" s="18" t="s">
        <v>9</v>
      </c>
      <c r="C1639" s="19">
        <f>40158+(3*365)</f>
        <v>41253</v>
      </c>
      <c r="D1639" s="18" t="s">
        <v>62</v>
      </c>
      <c r="E1639" s="18" t="s">
        <v>75</v>
      </c>
      <c r="F1639" s="21">
        <v>238</v>
      </c>
    </row>
    <row r="1640" spans="2:6" x14ac:dyDescent="0.25">
      <c r="B1640" s="18" t="s">
        <v>8</v>
      </c>
      <c r="C1640" s="19">
        <f>40911+(3*365)</f>
        <v>42006</v>
      </c>
      <c r="D1640" s="18" t="s">
        <v>81</v>
      </c>
      <c r="E1640" s="18" t="s">
        <v>69</v>
      </c>
      <c r="F1640" s="21">
        <v>3264</v>
      </c>
    </row>
    <row r="1641" spans="2:6" x14ac:dyDescent="0.25">
      <c r="B1641" s="18" t="s">
        <v>25</v>
      </c>
      <c r="C1641" s="19">
        <f>40262+(3*365)</f>
        <v>41357</v>
      </c>
      <c r="D1641" s="18" t="s">
        <v>79</v>
      </c>
      <c r="E1641" s="18" t="s">
        <v>59</v>
      </c>
      <c r="F1641" s="21">
        <v>180</v>
      </c>
    </row>
    <row r="1642" spans="2:6" x14ac:dyDescent="0.25">
      <c r="B1642" s="18" t="s">
        <v>11</v>
      </c>
      <c r="C1642" s="19">
        <f>40323+(3*365)</f>
        <v>41418</v>
      </c>
      <c r="D1642" s="18" t="s">
        <v>74</v>
      </c>
      <c r="E1642" s="18" t="s">
        <v>61</v>
      </c>
      <c r="F1642" s="21">
        <v>639</v>
      </c>
    </row>
    <row r="1643" spans="2:6" x14ac:dyDescent="0.25">
      <c r="B1643" s="18" t="s">
        <v>31</v>
      </c>
      <c r="C1643" s="19">
        <f>40362+(3*365)</f>
        <v>41457</v>
      </c>
      <c r="D1643" s="18" t="s">
        <v>76</v>
      </c>
      <c r="E1643" s="18" t="s">
        <v>64</v>
      </c>
      <c r="F1643" s="21">
        <v>11904</v>
      </c>
    </row>
    <row r="1644" spans="2:6" x14ac:dyDescent="0.25">
      <c r="B1644" s="18" t="s">
        <v>9</v>
      </c>
      <c r="C1644" s="19">
        <f>40795+(3*365)</f>
        <v>41890</v>
      </c>
      <c r="D1644" s="18" t="s">
        <v>80</v>
      </c>
      <c r="E1644" s="18" t="s">
        <v>69</v>
      </c>
      <c r="F1644" s="21">
        <v>1224</v>
      </c>
    </row>
    <row r="1645" spans="2:6" x14ac:dyDescent="0.25">
      <c r="B1645" s="18" t="s">
        <v>10</v>
      </c>
      <c r="C1645" s="19">
        <f>40416+(3*365)</f>
        <v>41511</v>
      </c>
      <c r="D1645" s="18" t="s">
        <v>65</v>
      </c>
      <c r="E1645" s="18" t="s">
        <v>61</v>
      </c>
      <c r="F1645" s="21">
        <v>720</v>
      </c>
    </row>
    <row r="1646" spans="2:6" x14ac:dyDescent="0.25">
      <c r="B1646" s="18" t="s">
        <v>25</v>
      </c>
      <c r="C1646" s="19">
        <f>40667+(3*365)</f>
        <v>41762</v>
      </c>
      <c r="D1646" s="18" t="s">
        <v>78</v>
      </c>
      <c r="E1646" s="18" t="s">
        <v>63</v>
      </c>
      <c r="F1646" s="21">
        <v>1260</v>
      </c>
    </row>
    <row r="1647" spans="2:6" x14ac:dyDescent="0.25">
      <c r="B1647" s="18" t="s">
        <v>9</v>
      </c>
      <c r="C1647" s="19">
        <f>40149+(3*365)</f>
        <v>41244</v>
      </c>
      <c r="D1647" s="18" t="s">
        <v>62</v>
      </c>
      <c r="E1647" s="18" t="s">
        <v>61</v>
      </c>
      <c r="F1647" s="21">
        <v>1022</v>
      </c>
    </row>
    <row r="1648" spans="2:6" x14ac:dyDescent="0.25">
      <c r="B1648" s="18" t="s">
        <v>11</v>
      </c>
      <c r="C1648" s="19">
        <f>40614+(3*365)</f>
        <v>41709</v>
      </c>
      <c r="D1648" s="18" t="s">
        <v>74</v>
      </c>
      <c r="E1648" s="18" t="s">
        <v>63</v>
      </c>
      <c r="F1648" s="21">
        <v>1161</v>
      </c>
    </row>
    <row r="1649" spans="2:6" x14ac:dyDescent="0.25">
      <c r="B1649" s="18" t="s">
        <v>31</v>
      </c>
      <c r="C1649" s="19">
        <f>41109+(3*365)</f>
        <v>42204</v>
      </c>
      <c r="D1649" s="18" t="s">
        <v>70</v>
      </c>
      <c r="E1649" s="18" t="s">
        <v>69</v>
      </c>
      <c r="F1649" s="21">
        <v>3060</v>
      </c>
    </row>
    <row r="1650" spans="2:6" x14ac:dyDescent="0.25">
      <c r="B1650" s="18" t="s">
        <v>21</v>
      </c>
      <c r="C1650" s="19">
        <f>40588+(3*365)</f>
        <v>41683</v>
      </c>
      <c r="D1650" s="18" t="s">
        <v>58</v>
      </c>
      <c r="E1650" s="18" t="s">
        <v>61</v>
      </c>
      <c r="F1650" s="21">
        <v>375</v>
      </c>
    </row>
    <row r="1651" spans="2:6" x14ac:dyDescent="0.25">
      <c r="B1651" s="18" t="s">
        <v>10</v>
      </c>
      <c r="C1651" s="19">
        <f>40295+(3*365)</f>
        <v>41390</v>
      </c>
      <c r="D1651" s="18" t="s">
        <v>67</v>
      </c>
      <c r="E1651" s="18" t="s">
        <v>69</v>
      </c>
      <c r="F1651" s="21">
        <v>1128</v>
      </c>
    </row>
    <row r="1652" spans="2:6" x14ac:dyDescent="0.25">
      <c r="B1652" s="18" t="s">
        <v>8</v>
      </c>
      <c r="C1652" s="19">
        <f>41004+(3*365)</f>
        <v>42099</v>
      </c>
      <c r="D1652" s="18" t="s">
        <v>81</v>
      </c>
      <c r="E1652" s="18" t="s">
        <v>63</v>
      </c>
      <c r="F1652" s="21">
        <v>1792</v>
      </c>
    </row>
    <row r="1653" spans="2:6" x14ac:dyDescent="0.25">
      <c r="B1653" s="18" t="s">
        <v>10</v>
      </c>
      <c r="C1653" s="19">
        <f>40641+(3*365)</f>
        <v>41736</v>
      </c>
      <c r="D1653" s="18" t="s">
        <v>65</v>
      </c>
      <c r="E1653" s="18" t="s">
        <v>63</v>
      </c>
      <c r="F1653" s="21">
        <v>270</v>
      </c>
    </row>
    <row r="1654" spans="2:6" x14ac:dyDescent="0.25">
      <c r="B1654" s="18" t="s">
        <v>31</v>
      </c>
      <c r="C1654" s="19">
        <f>40228+(3*365)</f>
        <v>41323</v>
      </c>
      <c r="D1654" s="18" t="s">
        <v>70</v>
      </c>
      <c r="E1654" s="18" t="s">
        <v>63</v>
      </c>
      <c r="F1654" s="21">
        <v>936</v>
      </c>
    </row>
    <row r="1655" spans="2:6" x14ac:dyDescent="0.25">
      <c r="B1655" s="18" t="s">
        <v>21</v>
      </c>
      <c r="C1655" s="19">
        <f>39885+(3*365)</f>
        <v>40980</v>
      </c>
      <c r="D1655" s="18" t="s">
        <v>58</v>
      </c>
      <c r="E1655" s="18" t="s">
        <v>61</v>
      </c>
      <c r="F1655" s="21">
        <v>47</v>
      </c>
    </row>
    <row r="1656" spans="2:6" x14ac:dyDescent="0.25">
      <c r="B1656" s="18" t="s">
        <v>21</v>
      </c>
      <c r="C1656" s="19">
        <f>40461+(3*365)</f>
        <v>41556</v>
      </c>
      <c r="D1656" s="18" t="s">
        <v>73</v>
      </c>
      <c r="E1656" s="18" t="s">
        <v>64</v>
      </c>
      <c r="F1656" s="21">
        <v>3432</v>
      </c>
    </row>
    <row r="1657" spans="2:6" x14ac:dyDescent="0.25">
      <c r="B1657" s="18" t="s">
        <v>21</v>
      </c>
      <c r="C1657" s="19">
        <f>39996+(3*365)</f>
        <v>41091</v>
      </c>
      <c r="D1657" s="18" t="s">
        <v>58</v>
      </c>
      <c r="E1657" s="18" t="s">
        <v>64</v>
      </c>
      <c r="F1657" s="21">
        <v>2650</v>
      </c>
    </row>
    <row r="1658" spans="2:6" x14ac:dyDescent="0.25">
      <c r="B1658" s="18" t="s">
        <v>31</v>
      </c>
      <c r="C1658" s="19">
        <f>40032+(3*365)</f>
        <v>41127</v>
      </c>
      <c r="D1658" s="18" t="s">
        <v>76</v>
      </c>
      <c r="E1658" s="18" t="s">
        <v>59</v>
      </c>
      <c r="F1658" s="21">
        <v>621</v>
      </c>
    </row>
    <row r="1659" spans="2:6" x14ac:dyDescent="0.25">
      <c r="B1659" s="18" t="s">
        <v>11</v>
      </c>
      <c r="C1659" s="19">
        <f>41199+(3*365)</f>
        <v>42294</v>
      </c>
      <c r="D1659" s="18" t="s">
        <v>74</v>
      </c>
      <c r="E1659" s="18" t="s">
        <v>59</v>
      </c>
      <c r="F1659" s="21">
        <v>740</v>
      </c>
    </row>
    <row r="1660" spans="2:6" x14ac:dyDescent="0.25">
      <c r="B1660" s="18" t="s">
        <v>8</v>
      </c>
      <c r="C1660" s="19">
        <f>41225+(3*365)</f>
        <v>42320</v>
      </c>
      <c r="D1660" s="18" t="s">
        <v>77</v>
      </c>
      <c r="E1660" s="18" t="s">
        <v>72</v>
      </c>
      <c r="F1660" s="21">
        <v>2040</v>
      </c>
    </row>
    <row r="1661" spans="2:6" x14ac:dyDescent="0.25">
      <c r="B1661" s="18" t="s">
        <v>25</v>
      </c>
      <c r="C1661" s="19">
        <f>40149+(3*365)</f>
        <v>41244</v>
      </c>
      <c r="D1661" s="18" t="s">
        <v>78</v>
      </c>
      <c r="E1661" s="18" t="s">
        <v>69</v>
      </c>
      <c r="F1661" s="21">
        <v>1430</v>
      </c>
    </row>
    <row r="1662" spans="2:6" x14ac:dyDescent="0.25">
      <c r="B1662" s="18" t="s">
        <v>8</v>
      </c>
      <c r="C1662" s="19">
        <f>39864+(3*365)</f>
        <v>40959</v>
      </c>
      <c r="D1662" s="18" t="s">
        <v>81</v>
      </c>
      <c r="E1662" s="18" t="s">
        <v>69</v>
      </c>
      <c r="F1662" s="21">
        <v>978</v>
      </c>
    </row>
    <row r="1663" spans="2:6" x14ac:dyDescent="0.25">
      <c r="B1663" s="18" t="s">
        <v>11</v>
      </c>
      <c r="C1663" s="19">
        <f>40156+(3*365)</f>
        <v>41251</v>
      </c>
      <c r="D1663" s="18" t="s">
        <v>60</v>
      </c>
      <c r="E1663" s="18" t="s">
        <v>69</v>
      </c>
      <c r="F1663" s="21">
        <v>927</v>
      </c>
    </row>
    <row r="1664" spans="2:6" x14ac:dyDescent="0.25">
      <c r="B1664" s="18" t="s">
        <v>21</v>
      </c>
      <c r="C1664" s="19">
        <f>40364+(3*365)</f>
        <v>41459</v>
      </c>
      <c r="D1664" s="18" t="s">
        <v>73</v>
      </c>
      <c r="E1664" s="18" t="s">
        <v>72</v>
      </c>
      <c r="F1664" s="21">
        <v>1380</v>
      </c>
    </row>
    <row r="1665" spans="2:6" x14ac:dyDescent="0.25">
      <c r="B1665" s="18" t="s">
        <v>10</v>
      </c>
      <c r="C1665" s="19">
        <f>40054+(3*365)</f>
        <v>41149</v>
      </c>
      <c r="D1665" s="18" t="s">
        <v>65</v>
      </c>
      <c r="E1665" s="18" t="s">
        <v>72</v>
      </c>
      <c r="F1665" s="21">
        <v>976</v>
      </c>
    </row>
    <row r="1666" spans="2:6" x14ac:dyDescent="0.25">
      <c r="B1666" s="18" t="s">
        <v>10</v>
      </c>
      <c r="C1666" s="19">
        <f>40512+(3*365)</f>
        <v>41607</v>
      </c>
      <c r="D1666" s="18" t="s">
        <v>67</v>
      </c>
      <c r="E1666" s="18" t="s">
        <v>59</v>
      </c>
      <c r="F1666" s="21">
        <v>300</v>
      </c>
    </row>
    <row r="1667" spans="2:6" x14ac:dyDescent="0.25">
      <c r="B1667" s="18" t="s">
        <v>25</v>
      </c>
      <c r="C1667" s="19">
        <f>40273+(3*365)</f>
        <v>41368</v>
      </c>
      <c r="D1667" s="18" t="s">
        <v>79</v>
      </c>
      <c r="E1667" s="18" t="s">
        <v>72</v>
      </c>
      <c r="F1667" s="21">
        <v>3690</v>
      </c>
    </row>
    <row r="1668" spans="2:6" x14ac:dyDescent="0.25">
      <c r="B1668" s="18" t="s">
        <v>21</v>
      </c>
      <c r="C1668" s="19">
        <f>40512+(3*365)</f>
        <v>41607</v>
      </c>
      <c r="D1668" s="18" t="s">
        <v>73</v>
      </c>
      <c r="E1668" s="18" t="s">
        <v>75</v>
      </c>
      <c r="F1668" s="21">
        <v>34</v>
      </c>
    </row>
    <row r="1669" spans="2:6" x14ac:dyDescent="0.25">
      <c r="B1669" s="18" t="s">
        <v>10</v>
      </c>
      <c r="C1669" s="19">
        <f>40455+(3*365)</f>
        <v>41550</v>
      </c>
      <c r="D1669" s="18" t="s">
        <v>65</v>
      </c>
      <c r="E1669" s="18" t="s">
        <v>69</v>
      </c>
      <c r="F1669" s="21">
        <v>2496</v>
      </c>
    </row>
    <row r="1670" spans="2:6" x14ac:dyDescent="0.25">
      <c r="B1670" s="18" t="s">
        <v>31</v>
      </c>
      <c r="C1670" s="19">
        <f>40526+(3*365)</f>
        <v>41621</v>
      </c>
      <c r="D1670" s="18" t="s">
        <v>76</v>
      </c>
      <c r="E1670" s="18" t="s">
        <v>69</v>
      </c>
      <c r="F1670" s="21">
        <v>3132</v>
      </c>
    </row>
    <row r="1671" spans="2:6" x14ac:dyDescent="0.25">
      <c r="B1671" s="18" t="s">
        <v>31</v>
      </c>
      <c r="C1671" s="19">
        <f>41032+(3*365)</f>
        <v>42127</v>
      </c>
      <c r="D1671" s="18" t="s">
        <v>76</v>
      </c>
      <c r="E1671" s="18" t="s">
        <v>63</v>
      </c>
      <c r="F1671" s="21">
        <v>990</v>
      </c>
    </row>
    <row r="1672" spans="2:6" x14ac:dyDescent="0.25">
      <c r="B1672" s="18" t="s">
        <v>25</v>
      </c>
      <c r="C1672" s="19">
        <f>41216+(3*365)</f>
        <v>42311</v>
      </c>
      <c r="D1672" s="18" t="s">
        <v>78</v>
      </c>
      <c r="E1672" s="18" t="s">
        <v>69</v>
      </c>
      <c r="F1672" s="21">
        <v>174</v>
      </c>
    </row>
    <row r="1673" spans="2:6" x14ac:dyDescent="0.25">
      <c r="B1673" s="18" t="s">
        <v>9</v>
      </c>
      <c r="C1673" s="19">
        <f>40172+(3*365)</f>
        <v>41267</v>
      </c>
      <c r="D1673" s="18" t="s">
        <v>62</v>
      </c>
      <c r="E1673" s="18" t="s">
        <v>69</v>
      </c>
      <c r="F1673" s="21">
        <v>2080</v>
      </c>
    </row>
    <row r="1674" spans="2:6" x14ac:dyDescent="0.25">
      <c r="B1674" s="18" t="s">
        <v>11</v>
      </c>
      <c r="C1674" s="19">
        <f>40556+(3*365)</f>
        <v>41651</v>
      </c>
      <c r="D1674" s="18" t="s">
        <v>74</v>
      </c>
      <c r="E1674" s="18" t="s">
        <v>64</v>
      </c>
      <c r="F1674" s="21">
        <v>6615</v>
      </c>
    </row>
    <row r="1675" spans="2:6" x14ac:dyDescent="0.25">
      <c r="B1675" s="18" t="s">
        <v>9</v>
      </c>
      <c r="C1675" s="19">
        <f>40268+(3*365)</f>
        <v>41363</v>
      </c>
      <c r="D1675" s="18" t="s">
        <v>62</v>
      </c>
      <c r="E1675" s="18" t="s">
        <v>63</v>
      </c>
      <c r="F1675" s="21">
        <v>160</v>
      </c>
    </row>
    <row r="1676" spans="2:6" x14ac:dyDescent="0.25">
      <c r="B1676" s="18" t="s">
        <v>8</v>
      </c>
      <c r="C1676" s="19">
        <f>39952+(3*365)</f>
        <v>41047</v>
      </c>
      <c r="D1676" s="18" t="s">
        <v>81</v>
      </c>
      <c r="E1676" s="18" t="s">
        <v>61</v>
      </c>
      <c r="F1676" s="21">
        <v>312</v>
      </c>
    </row>
    <row r="1677" spans="2:6" x14ac:dyDescent="0.25">
      <c r="B1677" s="18" t="s">
        <v>18</v>
      </c>
      <c r="C1677" s="19">
        <f>41221+(3*365)</f>
        <v>42316</v>
      </c>
      <c r="D1677" s="18" t="s">
        <v>68</v>
      </c>
      <c r="E1677" s="18" t="s">
        <v>63</v>
      </c>
      <c r="F1677" s="21">
        <v>1620</v>
      </c>
    </row>
    <row r="1678" spans="2:6" x14ac:dyDescent="0.25">
      <c r="B1678" s="18" t="s">
        <v>8</v>
      </c>
      <c r="C1678" s="19">
        <f>41125+(3*365)</f>
        <v>42220</v>
      </c>
      <c r="D1678" s="18" t="s">
        <v>81</v>
      </c>
      <c r="E1678" s="18" t="s">
        <v>63</v>
      </c>
      <c r="F1678" s="21">
        <v>1632</v>
      </c>
    </row>
    <row r="1679" spans="2:6" x14ac:dyDescent="0.25">
      <c r="B1679" s="18" t="s">
        <v>8</v>
      </c>
      <c r="C1679" s="19">
        <f>40420+(3*365)</f>
        <v>41515</v>
      </c>
      <c r="D1679" s="18" t="s">
        <v>77</v>
      </c>
      <c r="E1679" s="18" t="s">
        <v>61</v>
      </c>
      <c r="F1679" s="21">
        <v>384</v>
      </c>
    </row>
    <row r="1680" spans="2:6" x14ac:dyDescent="0.25">
      <c r="B1680" s="18" t="s">
        <v>8</v>
      </c>
      <c r="C1680" s="19">
        <f>40349+(3*365)</f>
        <v>41444</v>
      </c>
      <c r="D1680" s="18" t="s">
        <v>77</v>
      </c>
      <c r="E1680" s="18" t="s">
        <v>69</v>
      </c>
      <c r="F1680" s="21">
        <v>2960</v>
      </c>
    </row>
    <row r="1681" spans="2:6" x14ac:dyDescent="0.25">
      <c r="B1681" s="18" t="s">
        <v>10</v>
      </c>
      <c r="C1681" s="19">
        <f>41194+(3*365)</f>
        <v>42289</v>
      </c>
      <c r="D1681" s="18" t="s">
        <v>65</v>
      </c>
      <c r="E1681" s="18" t="s">
        <v>59</v>
      </c>
      <c r="F1681" s="21">
        <v>504</v>
      </c>
    </row>
    <row r="1682" spans="2:6" x14ac:dyDescent="0.25">
      <c r="B1682" s="18" t="s">
        <v>31</v>
      </c>
      <c r="C1682" s="19">
        <f>41127+(3*365)</f>
        <v>42222</v>
      </c>
      <c r="D1682" s="18" t="s">
        <v>70</v>
      </c>
      <c r="E1682" s="18" t="s">
        <v>63</v>
      </c>
      <c r="F1682" s="21">
        <v>552</v>
      </c>
    </row>
    <row r="1683" spans="2:6" x14ac:dyDescent="0.25">
      <c r="B1683" s="18" t="s">
        <v>18</v>
      </c>
      <c r="C1683" s="19">
        <f>40097+(3*365)</f>
        <v>41192</v>
      </c>
      <c r="D1683" s="18" t="s">
        <v>71</v>
      </c>
      <c r="E1683" s="18" t="s">
        <v>69</v>
      </c>
      <c r="F1683" s="21">
        <v>2432</v>
      </c>
    </row>
    <row r="1684" spans="2:6" x14ac:dyDescent="0.25">
      <c r="B1684" s="18" t="s">
        <v>9</v>
      </c>
      <c r="C1684" s="19">
        <f>40599+(3*365)</f>
        <v>41694</v>
      </c>
      <c r="D1684" s="18" t="s">
        <v>80</v>
      </c>
      <c r="E1684" s="18" t="s">
        <v>59</v>
      </c>
      <c r="F1684" s="21">
        <v>630</v>
      </c>
    </row>
    <row r="1685" spans="2:6" x14ac:dyDescent="0.25">
      <c r="B1685" s="18" t="s">
        <v>8</v>
      </c>
      <c r="C1685" s="19">
        <f>40767+(3*365)</f>
        <v>41862</v>
      </c>
      <c r="D1685" s="18" t="s">
        <v>77</v>
      </c>
      <c r="E1685" s="18" t="s">
        <v>63</v>
      </c>
      <c r="F1685" s="21">
        <v>2048</v>
      </c>
    </row>
    <row r="1686" spans="2:6" x14ac:dyDescent="0.25">
      <c r="B1686" s="18" t="s">
        <v>18</v>
      </c>
      <c r="C1686" s="19">
        <f>40267+(3*365)</f>
        <v>41362</v>
      </c>
      <c r="D1686" s="18" t="s">
        <v>68</v>
      </c>
      <c r="E1686" s="18" t="s">
        <v>66</v>
      </c>
      <c r="F1686" s="21">
        <v>231</v>
      </c>
    </row>
    <row r="1687" spans="2:6" x14ac:dyDescent="0.25">
      <c r="B1687" s="18" t="s">
        <v>31</v>
      </c>
      <c r="C1687" s="19">
        <f>40710+(3*365)</f>
        <v>41805</v>
      </c>
      <c r="D1687" s="18" t="s">
        <v>76</v>
      </c>
      <c r="E1687" s="18" t="s">
        <v>66</v>
      </c>
      <c r="F1687" s="21">
        <v>738</v>
      </c>
    </row>
    <row r="1688" spans="2:6" x14ac:dyDescent="0.25">
      <c r="B1688" s="18" t="s">
        <v>8</v>
      </c>
      <c r="C1688" s="19">
        <f>40055+(3*365)</f>
        <v>41150</v>
      </c>
      <c r="D1688" s="18" t="s">
        <v>77</v>
      </c>
      <c r="E1688" s="18" t="s">
        <v>61</v>
      </c>
      <c r="F1688" s="21">
        <v>1044</v>
      </c>
    </row>
    <row r="1689" spans="2:6" x14ac:dyDescent="0.25">
      <c r="B1689" s="18" t="s">
        <v>9</v>
      </c>
      <c r="C1689" s="19">
        <f>41135+(3*365)</f>
        <v>42230</v>
      </c>
      <c r="D1689" s="18" t="s">
        <v>62</v>
      </c>
      <c r="E1689" s="18" t="s">
        <v>61</v>
      </c>
      <c r="F1689" s="21">
        <v>288</v>
      </c>
    </row>
    <row r="1690" spans="2:6" x14ac:dyDescent="0.25">
      <c r="B1690" s="18" t="s">
        <v>31</v>
      </c>
      <c r="C1690" s="19">
        <f>39981+(3*365)</f>
        <v>41076</v>
      </c>
      <c r="D1690" s="18" t="s">
        <v>76</v>
      </c>
      <c r="E1690" s="18" t="s">
        <v>61</v>
      </c>
      <c r="F1690" s="21">
        <v>840</v>
      </c>
    </row>
    <row r="1691" spans="2:6" x14ac:dyDescent="0.25">
      <c r="B1691" s="18" t="s">
        <v>9</v>
      </c>
      <c r="C1691" s="19">
        <f>40791+(3*365)</f>
        <v>41886</v>
      </c>
      <c r="D1691" s="18" t="s">
        <v>62</v>
      </c>
      <c r="E1691" s="18" t="s">
        <v>75</v>
      </c>
      <c r="F1691" s="21">
        <v>96</v>
      </c>
    </row>
    <row r="1692" spans="2:6" x14ac:dyDescent="0.25">
      <c r="B1692" s="18" t="s">
        <v>10</v>
      </c>
      <c r="C1692" s="19">
        <f>40901+(3*365)</f>
        <v>41996</v>
      </c>
      <c r="D1692" s="18" t="s">
        <v>67</v>
      </c>
      <c r="E1692" s="18" t="s">
        <v>64</v>
      </c>
      <c r="F1692" s="21">
        <v>1128</v>
      </c>
    </row>
    <row r="1693" spans="2:6" x14ac:dyDescent="0.25">
      <c r="B1693" s="18" t="s">
        <v>11</v>
      </c>
      <c r="C1693" s="19">
        <f>41001+(3*365)</f>
        <v>42096</v>
      </c>
      <c r="D1693" s="18" t="s">
        <v>60</v>
      </c>
      <c r="E1693" s="18" t="s">
        <v>75</v>
      </c>
      <c r="F1693" s="21">
        <v>272</v>
      </c>
    </row>
    <row r="1694" spans="2:6" x14ac:dyDescent="0.25">
      <c r="B1694" s="18" t="s">
        <v>25</v>
      </c>
      <c r="C1694" s="19">
        <f>39935+(3*365)</f>
        <v>41030</v>
      </c>
      <c r="D1694" s="18" t="s">
        <v>79</v>
      </c>
      <c r="E1694" s="18" t="s">
        <v>75</v>
      </c>
      <c r="F1694" s="21">
        <v>432</v>
      </c>
    </row>
    <row r="1695" spans="2:6" x14ac:dyDescent="0.25">
      <c r="B1695" s="18" t="s">
        <v>31</v>
      </c>
      <c r="C1695" s="19">
        <f>39928+(3*365)</f>
        <v>41023</v>
      </c>
      <c r="D1695" s="18" t="s">
        <v>76</v>
      </c>
      <c r="E1695" s="18" t="s">
        <v>72</v>
      </c>
      <c r="F1695" s="21">
        <v>1380</v>
      </c>
    </row>
    <row r="1696" spans="2:6" x14ac:dyDescent="0.25">
      <c r="B1696" s="18" t="s">
        <v>9</v>
      </c>
      <c r="C1696" s="19">
        <f>40199+(3*365)</f>
        <v>41294</v>
      </c>
      <c r="D1696" s="18" t="s">
        <v>62</v>
      </c>
      <c r="E1696" s="18" t="s">
        <v>64</v>
      </c>
      <c r="F1696" s="21">
        <v>6510</v>
      </c>
    </row>
    <row r="1697" spans="2:6" x14ac:dyDescent="0.25">
      <c r="B1697" s="18" t="s">
        <v>18</v>
      </c>
      <c r="C1697" s="19">
        <f>40539+(3*365)</f>
        <v>41634</v>
      </c>
      <c r="D1697" s="18" t="s">
        <v>71</v>
      </c>
      <c r="E1697" s="18" t="s">
        <v>69</v>
      </c>
      <c r="F1697" s="21">
        <v>3696</v>
      </c>
    </row>
    <row r="1698" spans="2:6" x14ac:dyDescent="0.25">
      <c r="B1698" s="18" t="s">
        <v>21</v>
      </c>
      <c r="C1698" s="19">
        <f>40002+(3*365)</f>
        <v>41097</v>
      </c>
      <c r="D1698" s="18" t="s">
        <v>73</v>
      </c>
      <c r="E1698" s="18" t="s">
        <v>63</v>
      </c>
      <c r="F1698" s="21">
        <v>210</v>
      </c>
    </row>
    <row r="1699" spans="2:6" x14ac:dyDescent="0.25">
      <c r="B1699" s="18" t="s">
        <v>25</v>
      </c>
      <c r="C1699" s="19">
        <f>40080+(3*365)</f>
        <v>41175</v>
      </c>
      <c r="D1699" s="18" t="s">
        <v>79</v>
      </c>
      <c r="E1699" s="18" t="s">
        <v>66</v>
      </c>
      <c r="F1699" s="21">
        <v>826</v>
      </c>
    </row>
    <row r="1700" spans="2:6" x14ac:dyDescent="0.25">
      <c r="B1700" s="18" t="s">
        <v>18</v>
      </c>
      <c r="C1700" s="19">
        <f>40368+(3*365)</f>
        <v>41463</v>
      </c>
      <c r="D1700" s="18" t="s">
        <v>71</v>
      </c>
      <c r="E1700" s="18" t="s">
        <v>69</v>
      </c>
      <c r="F1700" s="21">
        <v>1386</v>
      </c>
    </row>
    <row r="1701" spans="2:6" x14ac:dyDescent="0.25">
      <c r="B1701" s="18" t="s">
        <v>18</v>
      </c>
      <c r="C1701" s="19">
        <f>40768+(3*365)</f>
        <v>41863</v>
      </c>
      <c r="D1701" s="18" t="s">
        <v>68</v>
      </c>
      <c r="E1701" s="18" t="s">
        <v>69</v>
      </c>
      <c r="F1701" s="21">
        <v>504</v>
      </c>
    </row>
    <row r="1702" spans="2:6" x14ac:dyDescent="0.25">
      <c r="B1702" s="18" t="s">
        <v>8</v>
      </c>
      <c r="C1702" s="19">
        <f>40428+(3*365)</f>
        <v>41523</v>
      </c>
      <c r="D1702" s="18" t="s">
        <v>77</v>
      </c>
      <c r="E1702" s="18" t="s">
        <v>61</v>
      </c>
      <c r="F1702" s="21">
        <v>752</v>
      </c>
    </row>
    <row r="1703" spans="2:6" x14ac:dyDescent="0.25">
      <c r="B1703" s="18" t="s">
        <v>9</v>
      </c>
      <c r="C1703" s="19">
        <f>41159+(3*365)</f>
        <v>42254</v>
      </c>
      <c r="D1703" s="18" t="s">
        <v>80</v>
      </c>
      <c r="E1703" s="18" t="s">
        <v>75</v>
      </c>
      <c r="F1703" s="21">
        <v>20</v>
      </c>
    </row>
    <row r="1704" spans="2:6" x14ac:dyDescent="0.25">
      <c r="B1704" s="18" t="s">
        <v>8</v>
      </c>
      <c r="C1704" s="19">
        <f>40408+(3*365)</f>
        <v>41503</v>
      </c>
      <c r="D1704" s="18" t="s">
        <v>77</v>
      </c>
      <c r="E1704" s="18" t="s">
        <v>69</v>
      </c>
      <c r="F1704" s="21">
        <v>3564</v>
      </c>
    </row>
    <row r="1705" spans="2:6" x14ac:dyDescent="0.25">
      <c r="B1705" s="18" t="s">
        <v>25</v>
      </c>
      <c r="C1705" s="19">
        <f>40998+(3*365)</f>
        <v>42093</v>
      </c>
      <c r="D1705" s="18" t="s">
        <v>78</v>
      </c>
      <c r="E1705" s="18" t="s">
        <v>72</v>
      </c>
      <c r="F1705" s="21">
        <v>3216</v>
      </c>
    </row>
    <row r="1706" spans="2:6" x14ac:dyDescent="0.25">
      <c r="B1706" s="18" t="s">
        <v>10</v>
      </c>
      <c r="C1706" s="19">
        <f>40822+(3*365)</f>
        <v>41917</v>
      </c>
      <c r="D1706" s="18" t="s">
        <v>67</v>
      </c>
      <c r="E1706" s="18" t="s">
        <v>61</v>
      </c>
      <c r="F1706" s="21">
        <v>198</v>
      </c>
    </row>
    <row r="1707" spans="2:6" x14ac:dyDescent="0.25">
      <c r="B1707" s="18" t="s">
        <v>25</v>
      </c>
      <c r="C1707" s="19">
        <f>40678+(3*365)</f>
        <v>41773</v>
      </c>
      <c r="D1707" s="18" t="s">
        <v>79</v>
      </c>
      <c r="E1707" s="18" t="s">
        <v>64</v>
      </c>
      <c r="F1707" s="21">
        <v>25152</v>
      </c>
    </row>
    <row r="1708" spans="2:6" x14ac:dyDescent="0.25">
      <c r="B1708" s="18" t="s">
        <v>9</v>
      </c>
      <c r="C1708" s="19">
        <f>40651+(3*365)</f>
        <v>41746</v>
      </c>
      <c r="D1708" s="18" t="s">
        <v>80</v>
      </c>
      <c r="E1708" s="18" t="s">
        <v>61</v>
      </c>
      <c r="F1708" s="21">
        <v>1044</v>
      </c>
    </row>
    <row r="1709" spans="2:6" x14ac:dyDescent="0.25">
      <c r="B1709" s="18" t="s">
        <v>25</v>
      </c>
      <c r="C1709" s="19">
        <f>40406+(3*365)</f>
        <v>41501</v>
      </c>
      <c r="D1709" s="18" t="s">
        <v>79</v>
      </c>
      <c r="E1709" s="18" t="s">
        <v>61</v>
      </c>
      <c r="F1709" s="21">
        <v>624</v>
      </c>
    </row>
    <row r="1710" spans="2:6" x14ac:dyDescent="0.25">
      <c r="B1710" s="18" t="s">
        <v>21</v>
      </c>
      <c r="C1710" s="19">
        <f>40883+(3*365)</f>
        <v>41978</v>
      </c>
      <c r="D1710" s="18" t="s">
        <v>73</v>
      </c>
      <c r="E1710" s="18" t="s">
        <v>72</v>
      </c>
      <c r="F1710" s="21">
        <v>3402</v>
      </c>
    </row>
    <row r="1711" spans="2:6" x14ac:dyDescent="0.25">
      <c r="B1711" s="18" t="s">
        <v>10</v>
      </c>
      <c r="C1711" s="19">
        <f>40319+(3*365)</f>
        <v>41414</v>
      </c>
      <c r="D1711" s="18" t="s">
        <v>67</v>
      </c>
      <c r="E1711" s="18" t="s">
        <v>63</v>
      </c>
      <c r="F1711" s="21">
        <v>354</v>
      </c>
    </row>
    <row r="1712" spans="2:6" x14ac:dyDescent="0.25">
      <c r="B1712" s="18" t="s">
        <v>18</v>
      </c>
      <c r="C1712" s="19">
        <f>40506+(3*365)</f>
        <v>41601</v>
      </c>
      <c r="D1712" s="18" t="s">
        <v>68</v>
      </c>
      <c r="E1712" s="18" t="s">
        <v>64</v>
      </c>
      <c r="F1712" s="21">
        <v>6624</v>
      </c>
    </row>
    <row r="1713" spans="2:6" x14ac:dyDescent="0.25">
      <c r="B1713" s="18" t="s">
        <v>25</v>
      </c>
      <c r="C1713" s="19">
        <f>40149+(3*365)</f>
        <v>41244</v>
      </c>
      <c r="D1713" s="18" t="s">
        <v>79</v>
      </c>
      <c r="E1713" s="18" t="s">
        <v>75</v>
      </c>
      <c r="F1713" s="21">
        <v>612</v>
      </c>
    </row>
    <row r="1714" spans="2:6" x14ac:dyDescent="0.25">
      <c r="B1714" s="18" t="s">
        <v>25</v>
      </c>
      <c r="C1714" s="19">
        <f>41170+(3*365)</f>
        <v>42265</v>
      </c>
      <c r="D1714" s="18" t="s">
        <v>78</v>
      </c>
      <c r="E1714" s="18" t="s">
        <v>63</v>
      </c>
      <c r="F1714" s="21">
        <v>560</v>
      </c>
    </row>
    <row r="1715" spans="2:6" x14ac:dyDescent="0.25">
      <c r="B1715" s="18" t="s">
        <v>9</v>
      </c>
      <c r="C1715" s="19">
        <f>39895+(3*365)</f>
        <v>40990</v>
      </c>
      <c r="D1715" s="18" t="s">
        <v>62</v>
      </c>
      <c r="E1715" s="18" t="s">
        <v>66</v>
      </c>
      <c r="F1715" s="21">
        <v>854</v>
      </c>
    </row>
    <row r="1716" spans="2:6" x14ac:dyDescent="0.25">
      <c r="B1716" s="18" t="s">
        <v>21</v>
      </c>
      <c r="C1716" s="19">
        <f>40771+(3*365)</f>
        <v>41866</v>
      </c>
      <c r="D1716" s="18" t="s">
        <v>58</v>
      </c>
      <c r="E1716" s="18" t="s">
        <v>59</v>
      </c>
      <c r="F1716" s="21">
        <v>348</v>
      </c>
    </row>
    <row r="1717" spans="2:6" x14ac:dyDescent="0.25">
      <c r="B1717" s="18" t="s">
        <v>25</v>
      </c>
      <c r="C1717" s="19">
        <f>40137+(3*365)</f>
        <v>41232</v>
      </c>
      <c r="D1717" s="18" t="s">
        <v>79</v>
      </c>
      <c r="E1717" s="18" t="s">
        <v>69</v>
      </c>
      <c r="F1717" s="21">
        <v>1696</v>
      </c>
    </row>
    <row r="1718" spans="2:6" x14ac:dyDescent="0.25">
      <c r="B1718" s="18" t="s">
        <v>25</v>
      </c>
      <c r="C1718" s="19">
        <f>39997+(3*365)</f>
        <v>41092</v>
      </c>
      <c r="D1718" s="18" t="s">
        <v>79</v>
      </c>
      <c r="E1718" s="18" t="s">
        <v>66</v>
      </c>
      <c r="F1718" s="21">
        <v>64</v>
      </c>
    </row>
    <row r="1719" spans="2:6" x14ac:dyDescent="0.25">
      <c r="B1719" s="18" t="s">
        <v>11</v>
      </c>
      <c r="C1719" s="19">
        <f>40339+(3*365)</f>
        <v>41434</v>
      </c>
      <c r="D1719" s="18" t="s">
        <v>60</v>
      </c>
      <c r="E1719" s="18" t="s">
        <v>69</v>
      </c>
      <c r="F1719" s="21">
        <v>438</v>
      </c>
    </row>
    <row r="1720" spans="2:6" x14ac:dyDescent="0.25">
      <c r="B1720" s="18" t="s">
        <v>18</v>
      </c>
      <c r="C1720" s="19">
        <f>40255+(3*365)</f>
        <v>41350</v>
      </c>
      <c r="D1720" s="18" t="s">
        <v>71</v>
      </c>
      <c r="E1720" s="18" t="s">
        <v>69</v>
      </c>
      <c r="F1720" s="21">
        <v>1596</v>
      </c>
    </row>
    <row r="1721" spans="2:6" x14ac:dyDescent="0.25">
      <c r="B1721" s="18" t="s">
        <v>25</v>
      </c>
      <c r="C1721" s="19">
        <f>40121+(3*365)</f>
        <v>41216</v>
      </c>
      <c r="D1721" s="18" t="s">
        <v>78</v>
      </c>
      <c r="E1721" s="18" t="s">
        <v>59</v>
      </c>
      <c r="F1721" s="21">
        <v>448</v>
      </c>
    </row>
    <row r="1722" spans="2:6" x14ac:dyDescent="0.25">
      <c r="B1722" s="18" t="s">
        <v>11</v>
      </c>
      <c r="C1722" s="19">
        <f>41224+(3*365)</f>
        <v>42319</v>
      </c>
      <c r="D1722" s="18" t="s">
        <v>60</v>
      </c>
      <c r="E1722" s="18" t="s">
        <v>72</v>
      </c>
      <c r="F1722" s="21">
        <v>2976</v>
      </c>
    </row>
    <row r="1723" spans="2:6" x14ac:dyDescent="0.25">
      <c r="B1723" s="18" t="s">
        <v>31</v>
      </c>
      <c r="C1723" s="19">
        <f>40944+(3*365)</f>
        <v>42039</v>
      </c>
      <c r="D1723" s="18" t="s">
        <v>76</v>
      </c>
      <c r="E1723" s="18" t="s">
        <v>69</v>
      </c>
      <c r="F1723" s="21">
        <v>1368</v>
      </c>
    </row>
    <row r="1724" spans="2:6" x14ac:dyDescent="0.25">
      <c r="B1724" s="18" t="s">
        <v>9</v>
      </c>
      <c r="C1724" s="19">
        <f>41224+(3*365)</f>
        <v>42319</v>
      </c>
      <c r="D1724" s="18" t="s">
        <v>80</v>
      </c>
      <c r="E1724" s="18" t="s">
        <v>66</v>
      </c>
      <c r="F1724" s="21">
        <v>58</v>
      </c>
    </row>
    <row r="1725" spans="2:6" x14ac:dyDescent="0.25">
      <c r="B1725" s="18" t="s">
        <v>9</v>
      </c>
      <c r="C1725" s="19">
        <f>41023+(3*365)</f>
        <v>42118</v>
      </c>
      <c r="D1725" s="18" t="s">
        <v>80</v>
      </c>
      <c r="E1725" s="18" t="s">
        <v>64</v>
      </c>
      <c r="F1725" s="21">
        <v>2187</v>
      </c>
    </row>
    <row r="1726" spans="2:6" x14ac:dyDescent="0.25">
      <c r="B1726" s="18" t="s">
        <v>9</v>
      </c>
      <c r="C1726" s="19">
        <f>40644+(3*365)</f>
        <v>41739</v>
      </c>
      <c r="D1726" s="18" t="s">
        <v>62</v>
      </c>
      <c r="E1726" s="18" t="s">
        <v>66</v>
      </c>
      <c r="F1726" s="21">
        <v>1008</v>
      </c>
    </row>
    <row r="1727" spans="2:6" x14ac:dyDescent="0.25">
      <c r="B1727" s="18" t="s">
        <v>25</v>
      </c>
      <c r="C1727" s="19">
        <f>39955+(3*365)</f>
        <v>41050</v>
      </c>
      <c r="D1727" s="18" t="s">
        <v>79</v>
      </c>
      <c r="E1727" s="18" t="s">
        <v>63</v>
      </c>
      <c r="F1727" s="21">
        <v>100</v>
      </c>
    </row>
    <row r="1728" spans="2:6" x14ac:dyDescent="0.25">
      <c r="B1728" s="18" t="s">
        <v>18</v>
      </c>
      <c r="C1728" s="19">
        <f>40116+(3*365)</f>
        <v>41211</v>
      </c>
      <c r="D1728" s="18" t="s">
        <v>68</v>
      </c>
      <c r="E1728" s="18" t="s">
        <v>64</v>
      </c>
      <c r="F1728" s="21">
        <v>7472</v>
      </c>
    </row>
    <row r="1729" spans="2:6" x14ac:dyDescent="0.25">
      <c r="B1729" s="18" t="s">
        <v>18</v>
      </c>
      <c r="C1729" s="19">
        <f>40686+(3*365)</f>
        <v>41781</v>
      </c>
      <c r="D1729" s="18" t="s">
        <v>68</v>
      </c>
      <c r="E1729" s="18" t="s">
        <v>61</v>
      </c>
      <c r="F1729" s="21">
        <v>212</v>
      </c>
    </row>
    <row r="1730" spans="2:6" x14ac:dyDescent="0.25">
      <c r="B1730" s="18" t="s">
        <v>8</v>
      </c>
      <c r="C1730" s="19">
        <f>40543+(3*365)</f>
        <v>41638</v>
      </c>
      <c r="D1730" s="18" t="s">
        <v>81</v>
      </c>
      <c r="E1730" s="18" t="s">
        <v>72</v>
      </c>
      <c r="F1730" s="21">
        <v>624</v>
      </c>
    </row>
    <row r="1731" spans="2:6" x14ac:dyDescent="0.25">
      <c r="B1731" s="18" t="s">
        <v>31</v>
      </c>
      <c r="C1731" s="19">
        <f>41099+(3*365)</f>
        <v>42194</v>
      </c>
      <c r="D1731" s="18" t="s">
        <v>76</v>
      </c>
      <c r="E1731" s="18" t="s">
        <v>69</v>
      </c>
      <c r="F1731" s="21">
        <v>2664</v>
      </c>
    </row>
    <row r="1732" spans="2:6" x14ac:dyDescent="0.25">
      <c r="B1732" s="18" t="s">
        <v>21</v>
      </c>
      <c r="C1732" s="19">
        <f>40287+(3*365)</f>
        <v>41382</v>
      </c>
      <c r="D1732" s="18" t="s">
        <v>73</v>
      </c>
      <c r="E1732" s="18" t="s">
        <v>72</v>
      </c>
      <c r="F1732" s="21">
        <v>384</v>
      </c>
    </row>
    <row r="1733" spans="2:6" x14ac:dyDescent="0.25">
      <c r="B1733" s="18" t="s">
        <v>9</v>
      </c>
      <c r="C1733" s="19">
        <f>40803+(3*365)</f>
        <v>41898</v>
      </c>
      <c r="D1733" s="18" t="s">
        <v>80</v>
      </c>
      <c r="E1733" s="18" t="s">
        <v>75</v>
      </c>
      <c r="F1733" s="21">
        <v>384</v>
      </c>
    </row>
    <row r="1734" spans="2:6" x14ac:dyDescent="0.25">
      <c r="B1734" s="18" t="s">
        <v>11</v>
      </c>
      <c r="C1734" s="19">
        <f>40287+(3*365)</f>
        <v>41382</v>
      </c>
      <c r="D1734" s="18" t="s">
        <v>74</v>
      </c>
      <c r="E1734" s="18" t="s">
        <v>75</v>
      </c>
      <c r="F1734" s="21">
        <v>84</v>
      </c>
    </row>
    <row r="1735" spans="2:6" x14ac:dyDescent="0.25">
      <c r="B1735" s="18" t="s">
        <v>9</v>
      </c>
      <c r="C1735" s="19">
        <f>41006+(3*365)</f>
        <v>42101</v>
      </c>
      <c r="D1735" s="18" t="s">
        <v>80</v>
      </c>
      <c r="E1735" s="18" t="s">
        <v>75</v>
      </c>
      <c r="F1735" s="21">
        <v>185</v>
      </c>
    </row>
    <row r="1736" spans="2:6" x14ac:dyDescent="0.25">
      <c r="B1736" s="18" t="s">
        <v>9</v>
      </c>
      <c r="C1736" s="19">
        <f>39956+(3*365)</f>
        <v>41051</v>
      </c>
      <c r="D1736" s="18" t="s">
        <v>80</v>
      </c>
      <c r="E1736" s="18" t="s">
        <v>64</v>
      </c>
      <c r="F1736" s="21">
        <v>2212</v>
      </c>
    </row>
    <row r="1737" spans="2:6" x14ac:dyDescent="0.25">
      <c r="B1737" s="18" t="s">
        <v>10</v>
      </c>
      <c r="C1737" s="19">
        <f>40772+(3*365)</f>
        <v>41867</v>
      </c>
      <c r="D1737" s="18" t="s">
        <v>67</v>
      </c>
      <c r="E1737" s="18" t="s">
        <v>59</v>
      </c>
      <c r="F1737" s="21">
        <v>128</v>
      </c>
    </row>
    <row r="1738" spans="2:6" x14ac:dyDescent="0.25">
      <c r="B1738" s="18" t="s">
        <v>9</v>
      </c>
      <c r="C1738" s="19">
        <f>41217+(3*365)</f>
        <v>42312</v>
      </c>
      <c r="D1738" s="18" t="s">
        <v>62</v>
      </c>
      <c r="E1738" s="18" t="s">
        <v>64</v>
      </c>
      <c r="F1738" s="21">
        <v>2115</v>
      </c>
    </row>
    <row r="1739" spans="2:6" x14ac:dyDescent="0.25">
      <c r="B1739" s="18" t="s">
        <v>21</v>
      </c>
      <c r="C1739" s="19">
        <f>40113+(3*365)</f>
        <v>41208</v>
      </c>
      <c r="D1739" s="18" t="s">
        <v>73</v>
      </c>
      <c r="E1739" s="18" t="s">
        <v>66</v>
      </c>
      <c r="F1739" s="21">
        <v>272</v>
      </c>
    </row>
    <row r="1740" spans="2:6" x14ac:dyDescent="0.25">
      <c r="B1740" s="18" t="s">
        <v>25</v>
      </c>
      <c r="C1740" s="19">
        <f>40183+(3*365)</f>
        <v>41278</v>
      </c>
      <c r="D1740" s="18" t="s">
        <v>78</v>
      </c>
      <c r="E1740" s="18" t="s">
        <v>75</v>
      </c>
      <c r="F1740" s="21">
        <v>255</v>
      </c>
    </row>
    <row r="1741" spans="2:6" x14ac:dyDescent="0.25">
      <c r="B1741" s="18" t="s">
        <v>25</v>
      </c>
      <c r="C1741" s="19">
        <f>40460+(3*365)</f>
        <v>41555</v>
      </c>
      <c r="D1741" s="18" t="s">
        <v>79</v>
      </c>
      <c r="E1741" s="18" t="s">
        <v>66</v>
      </c>
      <c r="F1741" s="21">
        <v>888</v>
      </c>
    </row>
    <row r="1742" spans="2:6" x14ac:dyDescent="0.25">
      <c r="B1742" s="18" t="s">
        <v>31</v>
      </c>
      <c r="C1742" s="19">
        <f>40841+(3*365)</f>
        <v>41936</v>
      </c>
      <c r="D1742" s="18" t="s">
        <v>76</v>
      </c>
      <c r="E1742" s="18" t="s">
        <v>64</v>
      </c>
      <c r="F1742" s="21">
        <v>5400</v>
      </c>
    </row>
    <row r="1743" spans="2:6" x14ac:dyDescent="0.25">
      <c r="B1743" s="18" t="s">
        <v>25</v>
      </c>
      <c r="C1743" s="19">
        <f>40338+(3*365)</f>
        <v>41433</v>
      </c>
      <c r="D1743" s="18" t="s">
        <v>78</v>
      </c>
      <c r="E1743" s="18" t="s">
        <v>63</v>
      </c>
      <c r="F1743" s="21">
        <v>90</v>
      </c>
    </row>
    <row r="1744" spans="2:6" x14ac:dyDescent="0.25">
      <c r="B1744" s="18" t="s">
        <v>18</v>
      </c>
      <c r="C1744" s="19">
        <f>40906+(3*365)</f>
        <v>42001</v>
      </c>
      <c r="D1744" s="18" t="s">
        <v>71</v>
      </c>
      <c r="E1744" s="18" t="s">
        <v>64</v>
      </c>
      <c r="F1744" s="21">
        <v>5652</v>
      </c>
    </row>
    <row r="1745" spans="2:6" x14ac:dyDescent="0.25">
      <c r="B1745" s="18" t="s">
        <v>31</v>
      </c>
      <c r="C1745" s="19">
        <f>41249+(3*365)</f>
        <v>42344</v>
      </c>
      <c r="D1745" s="18" t="s">
        <v>76</v>
      </c>
      <c r="E1745" s="18" t="s">
        <v>72</v>
      </c>
      <c r="F1745" s="21">
        <v>5373</v>
      </c>
    </row>
    <row r="1746" spans="2:6" x14ac:dyDescent="0.25">
      <c r="B1746" s="18" t="s">
        <v>18</v>
      </c>
      <c r="C1746" s="19">
        <f>40929+(3*365)</f>
        <v>42024</v>
      </c>
      <c r="D1746" s="18" t="s">
        <v>68</v>
      </c>
      <c r="E1746" s="18" t="s">
        <v>72</v>
      </c>
      <c r="F1746" s="21">
        <v>2394</v>
      </c>
    </row>
    <row r="1747" spans="2:6" x14ac:dyDescent="0.25">
      <c r="B1747" s="18" t="s">
        <v>31</v>
      </c>
      <c r="C1747" s="19">
        <f>40152+(3*365)</f>
        <v>41247</v>
      </c>
      <c r="D1747" s="18" t="s">
        <v>70</v>
      </c>
      <c r="E1747" s="18" t="s">
        <v>66</v>
      </c>
      <c r="F1747" s="21">
        <v>1368</v>
      </c>
    </row>
    <row r="1748" spans="2:6" x14ac:dyDescent="0.25">
      <c r="B1748" s="18" t="s">
        <v>11</v>
      </c>
      <c r="C1748" s="19">
        <f>40288+(3*365)</f>
        <v>41383</v>
      </c>
      <c r="D1748" s="18" t="s">
        <v>74</v>
      </c>
      <c r="E1748" s="18" t="s">
        <v>69</v>
      </c>
      <c r="F1748" s="21">
        <v>2760</v>
      </c>
    </row>
    <row r="1749" spans="2:6" x14ac:dyDescent="0.25">
      <c r="B1749" s="18" t="s">
        <v>25</v>
      </c>
      <c r="C1749" s="19">
        <f>40601+(3*365)</f>
        <v>41696</v>
      </c>
      <c r="D1749" s="18" t="s">
        <v>78</v>
      </c>
      <c r="E1749" s="18" t="s">
        <v>75</v>
      </c>
      <c r="F1749" s="21">
        <v>264</v>
      </c>
    </row>
    <row r="1750" spans="2:6" x14ac:dyDescent="0.25">
      <c r="B1750" s="18" t="s">
        <v>25</v>
      </c>
      <c r="C1750" s="19">
        <f>41106+(3*365)</f>
        <v>42201</v>
      </c>
      <c r="D1750" s="18" t="s">
        <v>78</v>
      </c>
      <c r="E1750" s="18" t="s">
        <v>66</v>
      </c>
      <c r="F1750" s="21">
        <v>162</v>
      </c>
    </row>
    <row r="1751" spans="2:6" x14ac:dyDescent="0.25">
      <c r="B1751" s="18" t="s">
        <v>10</v>
      </c>
      <c r="C1751" s="19">
        <f>40042+(3*365)</f>
        <v>41137</v>
      </c>
      <c r="D1751" s="18" t="s">
        <v>65</v>
      </c>
      <c r="E1751" s="18" t="s">
        <v>63</v>
      </c>
      <c r="F1751" s="21">
        <v>320</v>
      </c>
    </row>
    <row r="1752" spans="2:6" x14ac:dyDescent="0.25">
      <c r="B1752" s="18" t="s">
        <v>9</v>
      </c>
      <c r="C1752" s="19">
        <f>41266+(3*365)</f>
        <v>42361</v>
      </c>
      <c r="D1752" s="18" t="s">
        <v>80</v>
      </c>
      <c r="E1752" s="18" t="s">
        <v>75</v>
      </c>
      <c r="F1752" s="21">
        <v>252</v>
      </c>
    </row>
    <row r="1753" spans="2:6" x14ac:dyDescent="0.25">
      <c r="B1753" s="18" t="s">
        <v>18</v>
      </c>
      <c r="C1753" s="19">
        <f>40178+(3*365)</f>
        <v>41273</v>
      </c>
      <c r="D1753" s="18" t="s">
        <v>71</v>
      </c>
      <c r="E1753" s="18" t="s">
        <v>59</v>
      </c>
      <c r="F1753" s="21">
        <v>252</v>
      </c>
    </row>
    <row r="1754" spans="2:6" x14ac:dyDescent="0.25">
      <c r="B1754" s="18" t="s">
        <v>25</v>
      </c>
      <c r="C1754" s="19">
        <f>41037+(3*365)</f>
        <v>42132</v>
      </c>
      <c r="D1754" s="18" t="s">
        <v>79</v>
      </c>
      <c r="E1754" s="18" t="s">
        <v>64</v>
      </c>
      <c r="F1754" s="21">
        <v>7280</v>
      </c>
    </row>
    <row r="1755" spans="2:6" x14ac:dyDescent="0.25">
      <c r="B1755" s="18" t="s">
        <v>31</v>
      </c>
      <c r="C1755" s="19">
        <f>39819+(3*365)</f>
        <v>40914</v>
      </c>
      <c r="D1755" s="18" t="s">
        <v>70</v>
      </c>
      <c r="E1755" s="18" t="s">
        <v>63</v>
      </c>
      <c r="F1755" s="21">
        <v>486</v>
      </c>
    </row>
    <row r="1756" spans="2:6" x14ac:dyDescent="0.25">
      <c r="B1756" s="18" t="s">
        <v>18</v>
      </c>
      <c r="C1756" s="19">
        <f>40155+(3*365)</f>
        <v>41250</v>
      </c>
      <c r="D1756" s="18" t="s">
        <v>71</v>
      </c>
      <c r="E1756" s="18" t="s">
        <v>66</v>
      </c>
      <c r="F1756" s="21">
        <v>900</v>
      </c>
    </row>
    <row r="1757" spans="2:6" x14ac:dyDescent="0.25">
      <c r="B1757" s="18" t="s">
        <v>8</v>
      </c>
      <c r="C1757" s="19">
        <f>41009+(3*365)</f>
        <v>42104</v>
      </c>
      <c r="D1757" s="18" t="s">
        <v>77</v>
      </c>
      <c r="E1757" s="18" t="s">
        <v>69</v>
      </c>
      <c r="F1757" s="21">
        <v>1512</v>
      </c>
    </row>
    <row r="1758" spans="2:6" x14ac:dyDescent="0.25">
      <c r="B1758" s="18" t="s">
        <v>31</v>
      </c>
      <c r="C1758" s="19">
        <f>40389+(3*365)</f>
        <v>41484</v>
      </c>
      <c r="D1758" s="18" t="s">
        <v>70</v>
      </c>
      <c r="E1758" s="18" t="s">
        <v>66</v>
      </c>
      <c r="F1758" s="21">
        <v>270</v>
      </c>
    </row>
    <row r="1759" spans="2:6" x14ac:dyDescent="0.25">
      <c r="B1759" s="18" t="s">
        <v>31</v>
      </c>
      <c r="C1759" s="19">
        <f>39839+(3*365)</f>
        <v>40934</v>
      </c>
      <c r="D1759" s="18" t="s">
        <v>70</v>
      </c>
      <c r="E1759" s="18" t="s">
        <v>69</v>
      </c>
      <c r="F1759" s="21">
        <v>2712</v>
      </c>
    </row>
    <row r="1760" spans="2:6" x14ac:dyDescent="0.25">
      <c r="B1760" s="18" t="s">
        <v>18</v>
      </c>
      <c r="C1760" s="19">
        <f>40907+(3*365)</f>
        <v>42002</v>
      </c>
      <c r="D1760" s="18" t="s">
        <v>71</v>
      </c>
      <c r="E1760" s="18" t="s">
        <v>69</v>
      </c>
      <c r="F1760" s="21">
        <v>2920</v>
      </c>
    </row>
    <row r="1761" spans="2:6" x14ac:dyDescent="0.25">
      <c r="B1761" s="18" t="s">
        <v>9</v>
      </c>
      <c r="C1761" s="19">
        <f>40523+(3*365)</f>
        <v>41618</v>
      </c>
      <c r="D1761" s="18" t="s">
        <v>62</v>
      </c>
      <c r="E1761" s="18" t="s">
        <v>75</v>
      </c>
      <c r="F1761" s="21">
        <v>192</v>
      </c>
    </row>
    <row r="1762" spans="2:6" x14ac:dyDescent="0.25">
      <c r="B1762" s="18" t="s">
        <v>31</v>
      </c>
      <c r="C1762" s="19">
        <f>40458+(3*365)</f>
        <v>41553</v>
      </c>
      <c r="D1762" s="18" t="s">
        <v>70</v>
      </c>
      <c r="E1762" s="18" t="s">
        <v>63</v>
      </c>
      <c r="F1762" s="21">
        <v>1008</v>
      </c>
    </row>
    <row r="1763" spans="2:6" x14ac:dyDescent="0.25">
      <c r="B1763" s="18" t="s">
        <v>21</v>
      </c>
      <c r="C1763" s="19">
        <f>40995+(3*365)</f>
        <v>42090</v>
      </c>
      <c r="D1763" s="18" t="s">
        <v>58</v>
      </c>
      <c r="E1763" s="18" t="s">
        <v>59</v>
      </c>
      <c r="F1763" s="21">
        <v>888</v>
      </c>
    </row>
    <row r="1764" spans="2:6" x14ac:dyDescent="0.25">
      <c r="B1764" s="18" t="s">
        <v>10</v>
      </c>
      <c r="C1764" s="19">
        <f>40976+(3*365)</f>
        <v>42071</v>
      </c>
      <c r="D1764" s="18" t="s">
        <v>67</v>
      </c>
      <c r="E1764" s="18" t="s">
        <v>69</v>
      </c>
      <c r="F1764" s="21">
        <v>1197</v>
      </c>
    </row>
    <row r="1765" spans="2:6" x14ac:dyDescent="0.25">
      <c r="B1765" s="18" t="s">
        <v>21</v>
      </c>
      <c r="C1765" s="19">
        <f>41013+(3*365)</f>
        <v>42108</v>
      </c>
      <c r="D1765" s="18" t="s">
        <v>58</v>
      </c>
      <c r="E1765" s="18" t="s">
        <v>59</v>
      </c>
      <c r="F1765" s="21">
        <v>80</v>
      </c>
    </row>
    <row r="1766" spans="2:6" x14ac:dyDescent="0.25">
      <c r="B1766" s="18" t="s">
        <v>8</v>
      </c>
      <c r="C1766" s="19">
        <f>41075+(3*365)</f>
        <v>42170</v>
      </c>
      <c r="D1766" s="18" t="s">
        <v>77</v>
      </c>
      <c r="E1766" s="18" t="s">
        <v>72</v>
      </c>
      <c r="F1766" s="21">
        <v>8320</v>
      </c>
    </row>
    <row r="1767" spans="2:6" x14ac:dyDescent="0.25">
      <c r="B1767" s="18" t="s">
        <v>11</v>
      </c>
      <c r="C1767" s="19">
        <f>40131+(3*365)</f>
        <v>41226</v>
      </c>
      <c r="D1767" s="18" t="s">
        <v>60</v>
      </c>
      <c r="E1767" s="18" t="s">
        <v>66</v>
      </c>
      <c r="F1767" s="21">
        <v>330</v>
      </c>
    </row>
    <row r="1768" spans="2:6" x14ac:dyDescent="0.25">
      <c r="B1768" s="18" t="s">
        <v>31</v>
      </c>
      <c r="C1768" s="19">
        <f>40510+(3*365)</f>
        <v>41605</v>
      </c>
      <c r="D1768" s="18" t="s">
        <v>70</v>
      </c>
      <c r="E1768" s="18" t="s">
        <v>61</v>
      </c>
      <c r="F1768" s="21">
        <v>1680</v>
      </c>
    </row>
    <row r="1769" spans="2:6" x14ac:dyDescent="0.25">
      <c r="B1769" s="18" t="s">
        <v>25</v>
      </c>
      <c r="C1769" s="19">
        <f>41253+(3*365)</f>
        <v>42348</v>
      </c>
      <c r="D1769" s="18" t="s">
        <v>79</v>
      </c>
      <c r="E1769" s="18" t="s">
        <v>64</v>
      </c>
      <c r="F1769" s="21">
        <v>6810</v>
      </c>
    </row>
    <row r="1770" spans="2:6" x14ac:dyDescent="0.25">
      <c r="B1770" s="18" t="s">
        <v>25</v>
      </c>
      <c r="C1770" s="19">
        <f>40689+(3*365)</f>
        <v>41784</v>
      </c>
      <c r="D1770" s="18" t="s">
        <v>78</v>
      </c>
      <c r="E1770" s="18" t="s">
        <v>64</v>
      </c>
      <c r="F1770" s="21">
        <v>7760</v>
      </c>
    </row>
    <row r="1771" spans="2:6" x14ac:dyDescent="0.25">
      <c r="B1771" s="18" t="s">
        <v>31</v>
      </c>
      <c r="C1771" s="19">
        <f>40780+(3*365)</f>
        <v>41875</v>
      </c>
      <c r="D1771" s="18" t="s">
        <v>70</v>
      </c>
      <c r="E1771" s="18" t="s">
        <v>64</v>
      </c>
      <c r="F1771" s="21">
        <v>15603</v>
      </c>
    </row>
    <row r="1772" spans="2:6" x14ac:dyDescent="0.25">
      <c r="B1772" s="18" t="s">
        <v>9</v>
      </c>
      <c r="C1772" s="19">
        <f>39898+(3*365)</f>
        <v>40993</v>
      </c>
      <c r="D1772" s="18" t="s">
        <v>62</v>
      </c>
      <c r="E1772" s="18" t="s">
        <v>66</v>
      </c>
      <c r="F1772" s="21">
        <v>132</v>
      </c>
    </row>
    <row r="1773" spans="2:6" x14ac:dyDescent="0.25">
      <c r="B1773" s="18" t="s">
        <v>10</v>
      </c>
      <c r="C1773" s="19">
        <f>39836+(3*365)</f>
        <v>40931</v>
      </c>
      <c r="D1773" s="18" t="s">
        <v>65</v>
      </c>
      <c r="E1773" s="18" t="s">
        <v>72</v>
      </c>
      <c r="F1773" s="21">
        <v>360</v>
      </c>
    </row>
    <row r="1774" spans="2:6" x14ac:dyDescent="0.25">
      <c r="B1774" s="18" t="s">
        <v>31</v>
      </c>
      <c r="C1774" s="19">
        <f>40118+(3*365)</f>
        <v>41213</v>
      </c>
      <c r="D1774" s="18" t="s">
        <v>76</v>
      </c>
      <c r="E1774" s="18" t="s">
        <v>69</v>
      </c>
      <c r="F1774" s="21">
        <v>870</v>
      </c>
    </row>
    <row r="1775" spans="2:6" x14ac:dyDescent="0.25">
      <c r="B1775" s="18" t="s">
        <v>18</v>
      </c>
      <c r="C1775" s="19">
        <f>39875+(3*365)</f>
        <v>40970</v>
      </c>
      <c r="D1775" s="18" t="s">
        <v>68</v>
      </c>
      <c r="E1775" s="18" t="s">
        <v>75</v>
      </c>
      <c r="F1775" s="21">
        <v>264</v>
      </c>
    </row>
    <row r="1776" spans="2:6" x14ac:dyDescent="0.25">
      <c r="B1776" s="18" t="s">
        <v>10</v>
      </c>
      <c r="C1776" s="19">
        <f>40234+(3*365)</f>
        <v>41329</v>
      </c>
      <c r="D1776" s="18" t="s">
        <v>67</v>
      </c>
      <c r="E1776" s="18" t="s">
        <v>72</v>
      </c>
      <c r="F1776" s="21">
        <v>1260</v>
      </c>
    </row>
    <row r="1777" spans="2:6" x14ac:dyDescent="0.25">
      <c r="B1777" s="18" t="s">
        <v>25</v>
      </c>
      <c r="C1777" s="19">
        <f>39850+(3*365)</f>
        <v>40945</v>
      </c>
      <c r="D1777" s="18" t="s">
        <v>79</v>
      </c>
      <c r="E1777" s="18" t="s">
        <v>69</v>
      </c>
      <c r="F1777" s="21">
        <v>1504</v>
      </c>
    </row>
    <row r="1778" spans="2:6" x14ac:dyDescent="0.25">
      <c r="B1778" s="18" t="s">
        <v>8</v>
      </c>
      <c r="C1778" s="19">
        <f>40805+(3*365)</f>
        <v>41900</v>
      </c>
      <c r="D1778" s="18" t="s">
        <v>81</v>
      </c>
      <c r="E1778" s="18" t="s">
        <v>75</v>
      </c>
      <c r="F1778" s="21">
        <v>768</v>
      </c>
    </row>
    <row r="1779" spans="2:6" x14ac:dyDescent="0.25">
      <c r="B1779" s="18" t="s">
        <v>18</v>
      </c>
      <c r="C1779" s="19">
        <f>40888+(3*365)</f>
        <v>41983</v>
      </c>
      <c r="D1779" s="18" t="s">
        <v>71</v>
      </c>
      <c r="E1779" s="18" t="s">
        <v>61</v>
      </c>
      <c r="F1779" s="21">
        <v>900</v>
      </c>
    </row>
    <row r="1780" spans="2:6" x14ac:dyDescent="0.25">
      <c r="B1780" s="18" t="s">
        <v>8</v>
      </c>
      <c r="C1780" s="19">
        <f>40282+(3*365)</f>
        <v>41377</v>
      </c>
      <c r="D1780" s="18" t="s">
        <v>77</v>
      </c>
      <c r="E1780" s="18" t="s">
        <v>61</v>
      </c>
      <c r="F1780" s="21">
        <v>1368</v>
      </c>
    </row>
    <row r="1781" spans="2:6" x14ac:dyDescent="0.25">
      <c r="B1781" s="18" t="s">
        <v>25</v>
      </c>
      <c r="C1781" s="19">
        <f>41124+(3*365)</f>
        <v>42219</v>
      </c>
      <c r="D1781" s="18" t="s">
        <v>78</v>
      </c>
      <c r="E1781" s="18" t="s">
        <v>63</v>
      </c>
      <c r="F1781" s="21">
        <v>210</v>
      </c>
    </row>
    <row r="1782" spans="2:6" x14ac:dyDescent="0.25">
      <c r="B1782" s="18" t="s">
        <v>21</v>
      </c>
      <c r="C1782" s="19">
        <f>40030+(3*365)</f>
        <v>41125</v>
      </c>
      <c r="D1782" s="18" t="s">
        <v>73</v>
      </c>
      <c r="E1782" s="18" t="s">
        <v>66</v>
      </c>
      <c r="F1782" s="21">
        <v>387</v>
      </c>
    </row>
    <row r="1783" spans="2:6" x14ac:dyDescent="0.25">
      <c r="B1783" s="18" t="s">
        <v>8</v>
      </c>
      <c r="C1783" s="19">
        <f>40834+(3*365)</f>
        <v>41929</v>
      </c>
      <c r="D1783" s="18" t="s">
        <v>81</v>
      </c>
      <c r="E1783" s="18" t="s">
        <v>61</v>
      </c>
      <c r="F1783" s="21">
        <v>1060</v>
      </c>
    </row>
    <row r="1784" spans="2:6" x14ac:dyDescent="0.25">
      <c r="B1784" s="18" t="s">
        <v>18</v>
      </c>
      <c r="C1784" s="19">
        <f>40231+(3*365)</f>
        <v>41326</v>
      </c>
      <c r="D1784" s="18" t="s">
        <v>71</v>
      </c>
      <c r="E1784" s="18" t="s">
        <v>66</v>
      </c>
      <c r="F1784" s="21">
        <v>1080</v>
      </c>
    </row>
    <row r="1785" spans="2:6" x14ac:dyDescent="0.25">
      <c r="B1785" s="18" t="s">
        <v>10</v>
      </c>
      <c r="C1785" s="19">
        <f>40016+(3*365)</f>
        <v>41111</v>
      </c>
      <c r="D1785" s="18" t="s">
        <v>65</v>
      </c>
      <c r="E1785" s="18" t="s">
        <v>72</v>
      </c>
      <c r="F1785" s="21">
        <v>3120</v>
      </c>
    </row>
    <row r="1786" spans="2:6" x14ac:dyDescent="0.25">
      <c r="B1786" s="18" t="s">
        <v>18</v>
      </c>
      <c r="C1786" s="19">
        <f>40052+(3*365)</f>
        <v>41147</v>
      </c>
      <c r="D1786" s="18" t="s">
        <v>71</v>
      </c>
      <c r="E1786" s="18" t="s">
        <v>69</v>
      </c>
      <c r="F1786" s="21">
        <v>380</v>
      </c>
    </row>
    <row r="1787" spans="2:6" x14ac:dyDescent="0.25">
      <c r="B1787" s="18" t="s">
        <v>18</v>
      </c>
      <c r="C1787" s="19">
        <f>40547+(3*365)</f>
        <v>41642</v>
      </c>
      <c r="D1787" s="18" t="s">
        <v>71</v>
      </c>
      <c r="E1787" s="18" t="s">
        <v>61</v>
      </c>
      <c r="F1787" s="21">
        <v>104</v>
      </c>
    </row>
    <row r="1788" spans="2:6" x14ac:dyDescent="0.25">
      <c r="B1788" s="18" t="s">
        <v>9</v>
      </c>
      <c r="C1788" s="19">
        <f>40708+(3*365)</f>
        <v>41803</v>
      </c>
      <c r="D1788" s="18" t="s">
        <v>80</v>
      </c>
      <c r="E1788" s="18" t="s">
        <v>63</v>
      </c>
      <c r="F1788" s="21">
        <v>1269</v>
      </c>
    </row>
    <row r="1789" spans="2:6" x14ac:dyDescent="0.25">
      <c r="B1789" s="18" t="s">
        <v>10</v>
      </c>
      <c r="C1789" s="19">
        <f>40698+(3*365)</f>
        <v>41793</v>
      </c>
      <c r="D1789" s="18" t="s">
        <v>65</v>
      </c>
      <c r="E1789" s="18" t="s">
        <v>59</v>
      </c>
      <c r="F1789" s="21">
        <v>84</v>
      </c>
    </row>
    <row r="1790" spans="2:6" x14ac:dyDescent="0.25">
      <c r="B1790" s="18" t="s">
        <v>11</v>
      </c>
      <c r="C1790" s="19">
        <f>40776+(3*365)</f>
        <v>41871</v>
      </c>
      <c r="D1790" s="18" t="s">
        <v>74</v>
      </c>
      <c r="E1790" s="18" t="s">
        <v>59</v>
      </c>
      <c r="F1790" s="21">
        <v>405</v>
      </c>
    </row>
    <row r="1791" spans="2:6" x14ac:dyDescent="0.25">
      <c r="B1791" s="18" t="s">
        <v>31</v>
      </c>
      <c r="C1791" s="19">
        <f>40915+(3*365)</f>
        <v>42010</v>
      </c>
      <c r="D1791" s="18" t="s">
        <v>70</v>
      </c>
      <c r="E1791" s="18" t="s">
        <v>72</v>
      </c>
      <c r="F1791" s="21">
        <v>4212</v>
      </c>
    </row>
    <row r="1792" spans="2:6" x14ac:dyDescent="0.25">
      <c r="B1792" s="18" t="s">
        <v>8</v>
      </c>
      <c r="C1792" s="19">
        <f>40164+(3*365)</f>
        <v>41259</v>
      </c>
      <c r="D1792" s="18" t="s">
        <v>77</v>
      </c>
      <c r="E1792" s="18" t="s">
        <v>66</v>
      </c>
      <c r="F1792" s="21">
        <v>252</v>
      </c>
    </row>
    <row r="1793" spans="2:6" x14ac:dyDescent="0.25">
      <c r="B1793" s="18" t="s">
        <v>21</v>
      </c>
      <c r="C1793" s="19">
        <f>40978+(3*365)</f>
        <v>42073</v>
      </c>
      <c r="D1793" s="18" t="s">
        <v>73</v>
      </c>
      <c r="E1793" s="18" t="s">
        <v>64</v>
      </c>
      <c r="F1793" s="21">
        <v>2924</v>
      </c>
    </row>
    <row r="1794" spans="2:6" x14ac:dyDescent="0.25">
      <c r="B1794" s="18" t="s">
        <v>18</v>
      </c>
      <c r="C1794" s="19">
        <f>41159+(3*365)</f>
        <v>42254</v>
      </c>
      <c r="D1794" s="18" t="s">
        <v>68</v>
      </c>
      <c r="E1794" s="18" t="s">
        <v>64</v>
      </c>
      <c r="F1794" s="21">
        <v>8550</v>
      </c>
    </row>
    <row r="1795" spans="2:6" x14ac:dyDescent="0.25">
      <c r="B1795" s="18" t="s">
        <v>18</v>
      </c>
      <c r="C1795" s="19">
        <f>40738+(3*365)</f>
        <v>41833</v>
      </c>
      <c r="D1795" s="18" t="s">
        <v>68</v>
      </c>
      <c r="E1795" s="18" t="s">
        <v>63</v>
      </c>
      <c r="F1795" s="21">
        <v>504</v>
      </c>
    </row>
    <row r="1796" spans="2:6" x14ac:dyDescent="0.25">
      <c r="B1796" s="18" t="s">
        <v>18</v>
      </c>
      <c r="C1796" s="19">
        <f>39819+(3*365)</f>
        <v>40914</v>
      </c>
      <c r="D1796" s="18" t="s">
        <v>68</v>
      </c>
      <c r="E1796" s="18" t="s">
        <v>59</v>
      </c>
      <c r="F1796" s="21">
        <v>544</v>
      </c>
    </row>
    <row r="1797" spans="2:6" x14ac:dyDescent="0.25">
      <c r="B1797" s="18" t="s">
        <v>10</v>
      </c>
      <c r="C1797" s="19">
        <f>40906+(3*365)</f>
        <v>42001</v>
      </c>
      <c r="D1797" s="18" t="s">
        <v>65</v>
      </c>
      <c r="E1797" s="18" t="s">
        <v>69</v>
      </c>
      <c r="F1797" s="21">
        <v>854</v>
      </c>
    </row>
    <row r="1798" spans="2:6" x14ac:dyDescent="0.25">
      <c r="B1798" s="18" t="s">
        <v>8</v>
      </c>
      <c r="C1798" s="19">
        <f>41026+(3*365)</f>
        <v>42121</v>
      </c>
      <c r="D1798" s="18" t="s">
        <v>81</v>
      </c>
      <c r="E1798" s="18" t="s">
        <v>61</v>
      </c>
      <c r="F1798" s="21">
        <v>2016</v>
      </c>
    </row>
    <row r="1799" spans="2:6" x14ac:dyDescent="0.25">
      <c r="B1799" s="18" t="s">
        <v>18</v>
      </c>
      <c r="C1799" s="19">
        <f>41090+(3*365)</f>
        <v>42185</v>
      </c>
      <c r="D1799" s="18" t="s">
        <v>68</v>
      </c>
      <c r="E1799" s="18" t="s">
        <v>59</v>
      </c>
      <c r="F1799" s="21">
        <v>648</v>
      </c>
    </row>
    <row r="1800" spans="2:6" x14ac:dyDescent="0.25">
      <c r="B1800" s="18" t="s">
        <v>18</v>
      </c>
      <c r="C1800" s="19">
        <f>40332+(3*365)</f>
        <v>41427</v>
      </c>
      <c r="D1800" s="18" t="s">
        <v>68</v>
      </c>
      <c r="E1800" s="18" t="s">
        <v>63</v>
      </c>
      <c r="F1800" s="21">
        <v>837</v>
      </c>
    </row>
    <row r="1801" spans="2:6" x14ac:dyDescent="0.25">
      <c r="B1801" s="18" t="s">
        <v>25</v>
      </c>
      <c r="C1801" s="19">
        <f>39849+(3*365)</f>
        <v>40944</v>
      </c>
      <c r="D1801" s="18" t="s">
        <v>78</v>
      </c>
      <c r="E1801" s="18" t="s">
        <v>63</v>
      </c>
      <c r="F1801" s="21">
        <v>550</v>
      </c>
    </row>
    <row r="1802" spans="2:6" x14ac:dyDescent="0.25">
      <c r="B1802" s="18" t="s">
        <v>9</v>
      </c>
      <c r="C1802" s="19">
        <f>40359+(3*365)</f>
        <v>41454</v>
      </c>
      <c r="D1802" s="18" t="s">
        <v>62</v>
      </c>
      <c r="E1802" s="18" t="s">
        <v>72</v>
      </c>
      <c r="F1802" s="21">
        <v>2758</v>
      </c>
    </row>
    <row r="1803" spans="2:6" x14ac:dyDescent="0.25">
      <c r="B1803" s="18" t="s">
        <v>11</v>
      </c>
      <c r="C1803" s="19">
        <f>40545+(3*365)</f>
        <v>41640</v>
      </c>
      <c r="D1803" s="18" t="s">
        <v>74</v>
      </c>
      <c r="E1803" s="18" t="s">
        <v>69</v>
      </c>
      <c r="F1803" s="21">
        <v>3171</v>
      </c>
    </row>
    <row r="1804" spans="2:6" x14ac:dyDescent="0.25">
      <c r="B1804" s="18" t="s">
        <v>18</v>
      </c>
      <c r="C1804" s="19">
        <f>40261+(3*365)</f>
        <v>41356</v>
      </c>
      <c r="D1804" s="18" t="s">
        <v>68</v>
      </c>
      <c r="E1804" s="18" t="s">
        <v>66</v>
      </c>
      <c r="F1804" s="21">
        <v>600</v>
      </c>
    </row>
    <row r="1805" spans="2:6" x14ac:dyDescent="0.25">
      <c r="B1805" s="18" t="s">
        <v>11</v>
      </c>
      <c r="C1805" s="19">
        <f>40564+(3*365)</f>
        <v>41659</v>
      </c>
      <c r="D1805" s="18" t="s">
        <v>74</v>
      </c>
      <c r="E1805" s="18" t="s">
        <v>75</v>
      </c>
      <c r="F1805" s="21">
        <v>408</v>
      </c>
    </row>
    <row r="1806" spans="2:6" x14ac:dyDescent="0.25">
      <c r="B1806" s="18" t="s">
        <v>31</v>
      </c>
      <c r="C1806" s="19">
        <f>40583+(3*365)</f>
        <v>41678</v>
      </c>
      <c r="D1806" s="18" t="s">
        <v>70</v>
      </c>
      <c r="E1806" s="18" t="s">
        <v>59</v>
      </c>
      <c r="F1806" s="21">
        <v>714</v>
      </c>
    </row>
    <row r="1807" spans="2:6" x14ac:dyDescent="0.25">
      <c r="B1807" s="18" t="s">
        <v>18</v>
      </c>
      <c r="C1807" s="19">
        <f>40830+(3*365)</f>
        <v>41925</v>
      </c>
      <c r="D1807" s="18" t="s">
        <v>68</v>
      </c>
      <c r="E1807" s="18" t="s">
        <v>75</v>
      </c>
      <c r="F1807" s="21">
        <v>260</v>
      </c>
    </row>
    <row r="1808" spans="2:6" x14ac:dyDescent="0.25">
      <c r="B1808" s="18" t="s">
        <v>21</v>
      </c>
      <c r="C1808" s="19">
        <f>40251+(3*365)</f>
        <v>41346</v>
      </c>
      <c r="D1808" s="18" t="s">
        <v>73</v>
      </c>
      <c r="E1808" s="18" t="s">
        <v>66</v>
      </c>
      <c r="F1808" s="21">
        <v>686</v>
      </c>
    </row>
    <row r="1809" spans="2:6" x14ac:dyDescent="0.25">
      <c r="B1809" s="18" t="s">
        <v>11</v>
      </c>
      <c r="C1809" s="19">
        <f>40617+(3*365)</f>
        <v>41712</v>
      </c>
      <c r="D1809" s="18" t="s">
        <v>74</v>
      </c>
      <c r="E1809" s="18" t="s">
        <v>59</v>
      </c>
      <c r="F1809" s="21">
        <v>228</v>
      </c>
    </row>
    <row r="1810" spans="2:6" x14ac:dyDescent="0.25">
      <c r="B1810" s="18" t="s">
        <v>8</v>
      </c>
      <c r="C1810" s="19">
        <f>41042+(3*365)</f>
        <v>42137</v>
      </c>
      <c r="D1810" s="18" t="s">
        <v>77</v>
      </c>
      <c r="E1810" s="18" t="s">
        <v>69</v>
      </c>
      <c r="F1810" s="21">
        <v>5664</v>
      </c>
    </row>
    <row r="1811" spans="2:6" x14ac:dyDescent="0.25">
      <c r="B1811" s="18" t="s">
        <v>10</v>
      </c>
      <c r="C1811" s="19">
        <f>40779+(3*365)</f>
        <v>41874</v>
      </c>
      <c r="D1811" s="18" t="s">
        <v>65</v>
      </c>
      <c r="E1811" s="18" t="s">
        <v>75</v>
      </c>
      <c r="F1811" s="21">
        <v>180</v>
      </c>
    </row>
    <row r="1812" spans="2:6" x14ac:dyDescent="0.25">
      <c r="B1812" s="18" t="s">
        <v>11</v>
      </c>
      <c r="C1812" s="19">
        <f>41212+(3*365)</f>
        <v>42307</v>
      </c>
      <c r="D1812" s="18" t="s">
        <v>60</v>
      </c>
      <c r="E1812" s="18" t="s">
        <v>61</v>
      </c>
      <c r="F1812" s="21">
        <v>232</v>
      </c>
    </row>
    <row r="1813" spans="2:6" x14ac:dyDescent="0.25">
      <c r="B1813" s="18" t="s">
        <v>18</v>
      </c>
      <c r="C1813" s="19">
        <f>39888+(3*365)</f>
        <v>40983</v>
      </c>
      <c r="D1813" s="18" t="s">
        <v>68</v>
      </c>
      <c r="E1813" s="18" t="s">
        <v>66</v>
      </c>
      <c r="F1813" s="21">
        <v>1218</v>
      </c>
    </row>
    <row r="1814" spans="2:6" x14ac:dyDescent="0.25">
      <c r="B1814" s="18" t="s">
        <v>31</v>
      </c>
      <c r="C1814" s="19">
        <f>39881+(3*365)</f>
        <v>40976</v>
      </c>
      <c r="D1814" s="18" t="s">
        <v>70</v>
      </c>
      <c r="E1814" s="18" t="s">
        <v>64</v>
      </c>
      <c r="F1814" s="21">
        <v>1608</v>
      </c>
    </row>
    <row r="1815" spans="2:6" x14ac:dyDescent="0.25">
      <c r="B1815" s="18" t="s">
        <v>21</v>
      </c>
      <c r="C1815" s="19">
        <f>39915+(3*365)</f>
        <v>41010</v>
      </c>
      <c r="D1815" s="18" t="s">
        <v>73</v>
      </c>
      <c r="E1815" s="18" t="s">
        <v>75</v>
      </c>
      <c r="F1815" s="21">
        <v>46</v>
      </c>
    </row>
    <row r="1816" spans="2:6" x14ac:dyDescent="0.25">
      <c r="B1816" s="18" t="s">
        <v>31</v>
      </c>
      <c r="C1816" s="19">
        <f>41092+(3*365)</f>
        <v>42187</v>
      </c>
      <c r="D1816" s="18" t="s">
        <v>70</v>
      </c>
      <c r="E1816" s="18" t="s">
        <v>72</v>
      </c>
      <c r="F1816" s="21">
        <v>4734</v>
      </c>
    </row>
    <row r="1817" spans="2:6" x14ac:dyDescent="0.25">
      <c r="B1817" s="18" t="s">
        <v>18</v>
      </c>
      <c r="C1817" s="19">
        <f>41043+(3*365)</f>
        <v>42138</v>
      </c>
      <c r="D1817" s="18" t="s">
        <v>71</v>
      </c>
      <c r="E1817" s="18" t="s">
        <v>66</v>
      </c>
      <c r="F1817" s="21">
        <v>756</v>
      </c>
    </row>
    <row r="1818" spans="2:6" x14ac:dyDescent="0.25">
      <c r="B1818" s="18" t="s">
        <v>10</v>
      </c>
      <c r="C1818" s="19">
        <f>40439+(3*365)</f>
        <v>41534</v>
      </c>
      <c r="D1818" s="18" t="s">
        <v>67</v>
      </c>
      <c r="E1818" s="18" t="s">
        <v>72</v>
      </c>
      <c r="F1818" s="21">
        <v>5544</v>
      </c>
    </row>
    <row r="1819" spans="2:6" x14ac:dyDescent="0.25">
      <c r="B1819" s="18" t="s">
        <v>31</v>
      </c>
      <c r="C1819" s="19">
        <f>40419+(3*365)</f>
        <v>41514</v>
      </c>
      <c r="D1819" s="18" t="s">
        <v>70</v>
      </c>
      <c r="E1819" s="18" t="s">
        <v>72</v>
      </c>
      <c r="F1819" s="21">
        <v>2688</v>
      </c>
    </row>
    <row r="1820" spans="2:6" x14ac:dyDescent="0.25">
      <c r="B1820" s="18" t="s">
        <v>31</v>
      </c>
      <c r="C1820" s="19">
        <f>40234+(3*365)</f>
        <v>41329</v>
      </c>
      <c r="D1820" s="18" t="s">
        <v>70</v>
      </c>
      <c r="E1820" s="18" t="s">
        <v>63</v>
      </c>
      <c r="F1820" s="21">
        <v>360</v>
      </c>
    </row>
    <row r="1821" spans="2:6" x14ac:dyDescent="0.25">
      <c r="B1821" s="18" t="s">
        <v>10</v>
      </c>
      <c r="C1821" s="19">
        <f>41255+(3*365)</f>
        <v>42350</v>
      </c>
      <c r="D1821" s="18" t="s">
        <v>65</v>
      </c>
      <c r="E1821" s="18" t="s">
        <v>72</v>
      </c>
      <c r="F1821" s="21">
        <v>1380</v>
      </c>
    </row>
    <row r="1822" spans="2:6" x14ac:dyDescent="0.25">
      <c r="B1822" s="18" t="s">
        <v>25</v>
      </c>
      <c r="C1822" s="19">
        <f>40114+(3*365)</f>
        <v>41209</v>
      </c>
      <c r="D1822" s="18" t="s">
        <v>78</v>
      </c>
      <c r="E1822" s="18" t="s">
        <v>59</v>
      </c>
      <c r="F1822" s="21">
        <v>684</v>
      </c>
    </row>
    <row r="1823" spans="2:6" x14ac:dyDescent="0.25">
      <c r="B1823" s="18" t="s">
        <v>18</v>
      </c>
      <c r="C1823" s="19">
        <f>40195+(3*365)</f>
        <v>41290</v>
      </c>
      <c r="D1823" s="18" t="s">
        <v>71</v>
      </c>
      <c r="E1823" s="18" t="s">
        <v>75</v>
      </c>
      <c r="F1823" s="21">
        <v>672</v>
      </c>
    </row>
    <row r="1824" spans="2:6" x14ac:dyDescent="0.25">
      <c r="B1824" s="18" t="s">
        <v>31</v>
      </c>
      <c r="C1824" s="19">
        <f>41209+(3*365)</f>
        <v>42304</v>
      </c>
      <c r="D1824" s="18" t="s">
        <v>76</v>
      </c>
      <c r="E1824" s="18" t="s">
        <v>59</v>
      </c>
      <c r="F1824" s="21">
        <v>84</v>
      </c>
    </row>
    <row r="1825" spans="2:6" x14ac:dyDescent="0.25">
      <c r="B1825" s="18" t="s">
        <v>25</v>
      </c>
      <c r="C1825" s="19">
        <f>41011+(3*365)</f>
        <v>42106</v>
      </c>
      <c r="D1825" s="18" t="s">
        <v>79</v>
      </c>
      <c r="E1825" s="18" t="s">
        <v>72</v>
      </c>
      <c r="F1825" s="21">
        <v>240</v>
      </c>
    </row>
    <row r="1826" spans="2:6" x14ac:dyDescent="0.25">
      <c r="B1826" s="18" t="s">
        <v>9</v>
      </c>
      <c r="C1826" s="19">
        <f>40712+(3*365)</f>
        <v>41807</v>
      </c>
      <c r="D1826" s="18" t="s">
        <v>62</v>
      </c>
      <c r="E1826" s="18" t="s">
        <v>66</v>
      </c>
      <c r="F1826" s="21">
        <v>765</v>
      </c>
    </row>
    <row r="1827" spans="2:6" x14ac:dyDescent="0.25">
      <c r="B1827" s="18" t="s">
        <v>25</v>
      </c>
      <c r="C1827" s="19">
        <f>40035+(3*365)</f>
        <v>41130</v>
      </c>
      <c r="D1827" s="18" t="s">
        <v>78</v>
      </c>
      <c r="E1827" s="18" t="s">
        <v>61</v>
      </c>
      <c r="F1827" s="21">
        <v>1024</v>
      </c>
    </row>
    <row r="1828" spans="2:6" x14ac:dyDescent="0.25">
      <c r="B1828" s="18" t="s">
        <v>21</v>
      </c>
      <c r="C1828" s="19">
        <f>41205+(3*365)</f>
        <v>42300</v>
      </c>
      <c r="D1828" s="18" t="s">
        <v>73</v>
      </c>
      <c r="E1828" s="18" t="s">
        <v>75</v>
      </c>
      <c r="F1828" s="21">
        <v>68</v>
      </c>
    </row>
    <row r="1829" spans="2:6" x14ac:dyDescent="0.25">
      <c r="B1829" s="18" t="s">
        <v>18</v>
      </c>
      <c r="C1829" s="19">
        <f>40836+(3*365)</f>
        <v>41931</v>
      </c>
      <c r="D1829" s="18" t="s">
        <v>68</v>
      </c>
      <c r="E1829" s="18" t="s">
        <v>75</v>
      </c>
      <c r="F1829" s="21">
        <v>288</v>
      </c>
    </row>
    <row r="1830" spans="2:6" x14ac:dyDescent="0.25">
      <c r="B1830" s="18" t="s">
        <v>8</v>
      </c>
      <c r="C1830" s="19">
        <f>40492+(3*365)</f>
        <v>41587</v>
      </c>
      <c r="D1830" s="18" t="s">
        <v>77</v>
      </c>
      <c r="E1830" s="18" t="s">
        <v>64</v>
      </c>
      <c r="F1830" s="21">
        <v>12096</v>
      </c>
    </row>
    <row r="1831" spans="2:6" x14ac:dyDescent="0.25">
      <c r="B1831" s="18" t="s">
        <v>8</v>
      </c>
      <c r="C1831" s="19">
        <f>40923+(3*365)</f>
        <v>42018</v>
      </c>
      <c r="D1831" s="18" t="s">
        <v>81</v>
      </c>
      <c r="E1831" s="18" t="s">
        <v>72</v>
      </c>
      <c r="F1831" s="21">
        <v>2448</v>
      </c>
    </row>
    <row r="1832" spans="2:6" x14ac:dyDescent="0.25">
      <c r="B1832" s="18" t="s">
        <v>18</v>
      </c>
      <c r="C1832" s="19">
        <f>41153+(3*365)</f>
        <v>42248</v>
      </c>
      <c r="D1832" s="18" t="s">
        <v>71</v>
      </c>
      <c r="E1832" s="18" t="s">
        <v>61</v>
      </c>
      <c r="F1832" s="21">
        <v>231</v>
      </c>
    </row>
    <row r="1833" spans="2:6" x14ac:dyDescent="0.25">
      <c r="B1833" s="18" t="s">
        <v>8</v>
      </c>
      <c r="C1833" s="19">
        <f>41108+(3*365)</f>
        <v>42203</v>
      </c>
      <c r="D1833" s="18" t="s">
        <v>81</v>
      </c>
      <c r="E1833" s="18" t="s">
        <v>69</v>
      </c>
      <c r="F1833" s="21">
        <v>3060</v>
      </c>
    </row>
    <row r="1834" spans="2:6" x14ac:dyDescent="0.25">
      <c r="B1834" s="18" t="s">
        <v>10</v>
      </c>
      <c r="C1834" s="19">
        <f>41238+(3*365)</f>
        <v>42333</v>
      </c>
      <c r="D1834" s="18" t="s">
        <v>65</v>
      </c>
      <c r="E1834" s="18" t="s">
        <v>69</v>
      </c>
      <c r="F1834" s="21">
        <v>690</v>
      </c>
    </row>
    <row r="1835" spans="2:6" x14ac:dyDescent="0.25">
      <c r="B1835" s="18" t="s">
        <v>11</v>
      </c>
      <c r="C1835" s="19">
        <f>40478+(3*365)</f>
        <v>41573</v>
      </c>
      <c r="D1835" s="18" t="s">
        <v>60</v>
      </c>
      <c r="E1835" s="18" t="s">
        <v>69</v>
      </c>
      <c r="F1835" s="21">
        <v>2982</v>
      </c>
    </row>
    <row r="1836" spans="2:6" x14ac:dyDescent="0.25">
      <c r="B1836" s="18" t="s">
        <v>9</v>
      </c>
      <c r="C1836" s="19">
        <f>40594+(3*365)</f>
        <v>41689</v>
      </c>
      <c r="D1836" s="18" t="s">
        <v>62</v>
      </c>
      <c r="E1836" s="18" t="s">
        <v>63</v>
      </c>
      <c r="F1836" s="21">
        <v>975</v>
      </c>
    </row>
    <row r="1837" spans="2:6" x14ac:dyDescent="0.25">
      <c r="B1837" s="18" t="s">
        <v>11</v>
      </c>
      <c r="C1837" s="19">
        <f>40198+(3*365)</f>
        <v>41293</v>
      </c>
      <c r="D1837" s="18" t="s">
        <v>74</v>
      </c>
      <c r="E1837" s="18" t="s">
        <v>75</v>
      </c>
      <c r="F1837" s="21">
        <v>555</v>
      </c>
    </row>
    <row r="1838" spans="2:6" x14ac:dyDescent="0.25">
      <c r="B1838" s="18" t="s">
        <v>11</v>
      </c>
      <c r="C1838" s="19">
        <f>39828+(3*365)</f>
        <v>40923</v>
      </c>
      <c r="D1838" s="18" t="s">
        <v>74</v>
      </c>
      <c r="E1838" s="18" t="s">
        <v>59</v>
      </c>
      <c r="F1838" s="21">
        <v>312</v>
      </c>
    </row>
    <row r="1839" spans="2:6" x14ac:dyDescent="0.25">
      <c r="B1839" s="18" t="s">
        <v>21</v>
      </c>
      <c r="C1839" s="19">
        <f>40203+(3*365)</f>
        <v>41298</v>
      </c>
      <c r="D1839" s="18" t="s">
        <v>58</v>
      </c>
      <c r="E1839" s="18" t="s">
        <v>64</v>
      </c>
      <c r="F1839" s="21">
        <v>12726</v>
      </c>
    </row>
    <row r="1840" spans="2:6" x14ac:dyDescent="0.25">
      <c r="B1840" s="18" t="s">
        <v>18</v>
      </c>
      <c r="C1840" s="19">
        <f>41162+(3*365)</f>
        <v>42257</v>
      </c>
      <c r="D1840" s="18" t="s">
        <v>68</v>
      </c>
      <c r="E1840" s="18" t="s">
        <v>66</v>
      </c>
      <c r="F1840" s="21">
        <v>840</v>
      </c>
    </row>
    <row r="1841" spans="2:6" x14ac:dyDescent="0.25">
      <c r="B1841" s="18" t="s">
        <v>8</v>
      </c>
      <c r="C1841" s="19">
        <f>39961+(3*365)</f>
        <v>41056</v>
      </c>
      <c r="D1841" s="18" t="s">
        <v>77</v>
      </c>
      <c r="E1841" s="18" t="s">
        <v>63</v>
      </c>
      <c r="F1841" s="21">
        <v>288</v>
      </c>
    </row>
    <row r="1842" spans="2:6" x14ac:dyDescent="0.25">
      <c r="B1842" s="18" t="s">
        <v>9</v>
      </c>
      <c r="C1842" s="19">
        <f>40898+(3*365)</f>
        <v>41993</v>
      </c>
      <c r="D1842" s="18" t="s">
        <v>62</v>
      </c>
      <c r="E1842" s="18" t="s">
        <v>64</v>
      </c>
      <c r="F1842" s="21">
        <v>2880</v>
      </c>
    </row>
    <row r="1843" spans="2:6" x14ac:dyDescent="0.25">
      <c r="B1843" s="18" t="s">
        <v>18</v>
      </c>
      <c r="C1843" s="19">
        <f>40473+(3*365)</f>
        <v>41568</v>
      </c>
      <c r="D1843" s="18" t="s">
        <v>71</v>
      </c>
      <c r="E1843" s="18" t="s">
        <v>64</v>
      </c>
      <c r="F1843" s="21">
        <v>10545</v>
      </c>
    </row>
    <row r="1844" spans="2:6" x14ac:dyDescent="0.25">
      <c r="B1844" s="18" t="s">
        <v>11</v>
      </c>
      <c r="C1844" s="19">
        <f>40167+(3*365)</f>
        <v>41262</v>
      </c>
      <c r="D1844" s="18" t="s">
        <v>74</v>
      </c>
      <c r="E1844" s="18" t="s">
        <v>75</v>
      </c>
      <c r="F1844" s="21">
        <v>153</v>
      </c>
    </row>
    <row r="1845" spans="2:6" x14ac:dyDescent="0.25">
      <c r="B1845" s="18" t="s">
        <v>9</v>
      </c>
      <c r="C1845" s="19">
        <f>40947+(3*365)</f>
        <v>42042</v>
      </c>
      <c r="D1845" s="18" t="s">
        <v>62</v>
      </c>
      <c r="E1845" s="18" t="s">
        <v>64</v>
      </c>
      <c r="F1845" s="21">
        <v>886</v>
      </c>
    </row>
    <row r="1846" spans="2:6" x14ac:dyDescent="0.25">
      <c r="B1846" s="18" t="s">
        <v>11</v>
      </c>
      <c r="C1846" s="19">
        <f>41036+(3*365)</f>
        <v>42131</v>
      </c>
      <c r="D1846" s="18" t="s">
        <v>60</v>
      </c>
      <c r="E1846" s="18" t="s">
        <v>59</v>
      </c>
      <c r="F1846" s="21">
        <v>600</v>
      </c>
    </row>
    <row r="1847" spans="2:6" x14ac:dyDescent="0.25">
      <c r="B1847" s="18" t="s">
        <v>21</v>
      </c>
      <c r="C1847" s="19">
        <f>40547+(3*365)</f>
        <v>41642</v>
      </c>
      <c r="D1847" s="18" t="s">
        <v>73</v>
      </c>
      <c r="E1847" s="18" t="s">
        <v>72</v>
      </c>
      <c r="F1847" s="21">
        <v>2412</v>
      </c>
    </row>
    <row r="1848" spans="2:6" x14ac:dyDescent="0.25">
      <c r="B1848" s="18" t="s">
        <v>9</v>
      </c>
      <c r="C1848" s="19">
        <f>41051+(3*365)</f>
        <v>42146</v>
      </c>
      <c r="D1848" s="18" t="s">
        <v>80</v>
      </c>
      <c r="E1848" s="18" t="s">
        <v>75</v>
      </c>
      <c r="F1848" s="21">
        <v>38</v>
      </c>
    </row>
    <row r="1849" spans="2:6" x14ac:dyDescent="0.25">
      <c r="B1849" s="18" t="s">
        <v>25</v>
      </c>
      <c r="C1849" s="19">
        <f>41013+(3*365)</f>
        <v>42108</v>
      </c>
      <c r="D1849" s="18" t="s">
        <v>79</v>
      </c>
      <c r="E1849" s="18" t="s">
        <v>75</v>
      </c>
      <c r="F1849" s="21">
        <v>558</v>
      </c>
    </row>
    <row r="1850" spans="2:6" x14ac:dyDescent="0.25">
      <c r="B1850" s="18" t="s">
        <v>21</v>
      </c>
      <c r="C1850" s="19">
        <f>41272+(3*365)</f>
        <v>42367</v>
      </c>
      <c r="D1850" s="18" t="s">
        <v>73</v>
      </c>
      <c r="E1850" s="18" t="s">
        <v>66</v>
      </c>
      <c r="F1850" s="21">
        <v>2952</v>
      </c>
    </row>
    <row r="1851" spans="2:6" x14ac:dyDescent="0.25">
      <c r="B1851" s="18" t="s">
        <v>8</v>
      </c>
      <c r="C1851" s="19">
        <f>39925+(3*365)</f>
        <v>41020</v>
      </c>
      <c r="D1851" s="18" t="s">
        <v>77</v>
      </c>
      <c r="E1851" s="18" t="s">
        <v>72</v>
      </c>
      <c r="F1851" s="21">
        <v>2592</v>
      </c>
    </row>
    <row r="1852" spans="2:6" x14ac:dyDescent="0.25">
      <c r="B1852" s="18" t="s">
        <v>31</v>
      </c>
      <c r="C1852" s="19">
        <f>40596+(3*365)</f>
        <v>41691</v>
      </c>
      <c r="D1852" s="18" t="s">
        <v>70</v>
      </c>
      <c r="E1852" s="18" t="s">
        <v>61</v>
      </c>
      <c r="F1852" s="21">
        <v>915</v>
      </c>
    </row>
    <row r="1853" spans="2:6" x14ac:dyDescent="0.25">
      <c r="B1853" s="18" t="s">
        <v>8</v>
      </c>
      <c r="C1853" s="19">
        <f>40949+(3*365)</f>
        <v>42044</v>
      </c>
      <c r="D1853" s="18" t="s">
        <v>77</v>
      </c>
      <c r="E1853" s="18" t="s">
        <v>66</v>
      </c>
      <c r="F1853" s="21">
        <v>924</v>
      </c>
    </row>
    <row r="1854" spans="2:6" x14ac:dyDescent="0.25">
      <c r="B1854" s="18" t="s">
        <v>21</v>
      </c>
      <c r="C1854" s="19">
        <f>40208+(3*365)</f>
        <v>41303</v>
      </c>
      <c r="D1854" s="18" t="s">
        <v>58</v>
      </c>
      <c r="E1854" s="18" t="s">
        <v>75</v>
      </c>
      <c r="F1854" s="21">
        <v>28</v>
      </c>
    </row>
    <row r="1855" spans="2:6" x14ac:dyDescent="0.25">
      <c r="B1855" s="18" t="s">
        <v>11</v>
      </c>
      <c r="C1855" s="19">
        <f>40425+(3*365)</f>
        <v>41520</v>
      </c>
      <c r="D1855" s="18" t="s">
        <v>60</v>
      </c>
      <c r="E1855" s="18" t="s">
        <v>61</v>
      </c>
      <c r="F1855" s="21">
        <v>1155</v>
      </c>
    </row>
    <row r="1856" spans="2:6" x14ac:dyDescent="0.25">
      <c r="B1856" s="18" t="s">
        <v>10</v>
      </c>
      <c r="C1856" s="19">
        <f>41137+(3*365)</f>
        <v>42232</v>
      </c>
      <c r="D1856" s="18" t="s">
        <v>67</v>
      </c>
      <c r="E1856" s="18" t="s">
        <v>59</v>
      </c>
      <c r="F1856" s="21">
        <v>270</v>
      </c>
    </row>
    <row r="1857" spans="2:6" x14ac:dyDescent="0.25">
      <c r="B1857" s="18" t="s">
        <v>21</v>
      </c>
      <c r="C1857" s="19">
        <f>40166+(3*365)</f>
        <v>41261</v>
      </c>
      <c r="D1857" s="18" t="s">
        <v>73</v>
      </c>
      <c r="E1857" s="18" t="s">
        <v>69</v>
      </c>
      <c r="F1857" s="21">
        <v>1113</v>
      </c>
    </row>
    <row r="1858" spans="2:6" x14ac:dyDescent="0.25">
      <c r="B1858" s="18" t="s">
        <v>8</v>
      </c>
      <c r="C1858" s="19">
        <f>41036+(3*365)</f>
        <v>42131</v>
      </c>
      <c r="D1858" s="18" t="s">
        <v>81</v>
      </c>
      <c r="E1858" s="18" t="s">
        <v>63</v>
      </c>
      <c r="F1858" s="21">
        <v>1792</v>
      </c>
    </row>
    <row r="1859" spans="2:6" x14ac:dyDescent="0.25">
      <c r="B1859" s="18" t="s">
        <v>8</v>
      </c>
      <c r="C1859" s="19">
        <f>40733+(3*365)</f>
        <v>41828</v>
      </c>
      <c r="D1859" s="18" t="s">
        <v>77</v>
      </c>
      <c r="E1859" s="18" t="s">
        <v>63</v>
      </c>
      <c r="F1859" s="21">
        <v>672</v>
      </c>
    </row>
    <row r="1860" spans="2:6" x14ac:dyDescent="0.25">
      <c r="B1860" s="18" t="s">
        <v>25</v>
      </c>
      <c r="C1860" s="19">
        <f>40416+(3*365)</f>
        <v>41511</v>
      </c>
      <c r="D1860" s="18" t="s">
        <v>79</v>
      </c>
      <c r="E1860" s="18" t="s">
        <v>75</v>
      </c>
      <c r="F1860" s="21">
        <v>372</v>
      </c>
    </row>
    <row r="1861" spans="2:6" x14ac:dyDescent="0.25">
      <c r="B1861" s="18" t="s">
        <v>31</v>
      </c>
      <c r="C1861" s="19">
        <f>40370+(3*365)</f>
        <v>41465</v>
      </c>
      <c r="D1861" s="18" t="s">
        <v>70</v>
      </c>
      <c r="E1861" s="18" t="s">
        <v>75</v>
      </c>
      <c r="F1861" s="21">
        <v>270</v>
      </c>
    </row>
    <row r="1862" spans="2:6" x14ac:dyDescent="0.25">
      <c r="B1862" s="18" t="s">
        <v>21</v>
      </c>
      <c r="C1862" s="19">
        <f>41263+(3*365)</f>
        <v>42358</v>
      </c>
      <c r="D1862" s="18" t="s">
        <v>73</v>
      </c>
      <c r="E1862" s="18" t="s">
        <v>66</v>
      </c>
      <c r="F1862" s="21">
        <v>1080</v>
      </c>
    </row>
    <row r="1863" spans="2:6" x14ac:dyDescent="0.25">
      <c r="B1863" s="18" t="s">
        <v>8</v>
      </c>
      <c r="C1863" s="19">
        <f>40281+(3*365)</f>
        <v>41376</v>
      </c>
      <c r="D1863" s="18" t="s">
        <v>77</v>
      </c>
      <c r="E1863" s="18" t="s">
        <v>64</v>
      </c>
      <c r="F1863" s="21">
        <v>12060</v>
      </c>
    </row>
    <row r="1864" spans="2:6" x14ac:dyDescent="0.25">
      <c r="B1864" s="18" t="s">
        <v>9</v>
      </c>
      <c r="C1864" s="19">
        <f>39996+(3*365)</f>
        <v>41091</v>
      </c>
      <c r="D1864" s="18" t="s">
        <v>80</v>
      </c>
      <c r="E1864" s="18" t="s">
        <v>64</v>
      </c>
      <c r="F1864" s="21">
        <v>7506</v>
      </c>
    </row>
    <row r="1865" spans="2:6" x14ac:dyDescent="0.25">
      <c r="B1865" s="18" t="s">
        <v>18</v>
      </c>
      <c r="C1865" s="19">
        <f>40099+(3*365)</f>
        <v>41194</v>
      </c>
      <c r="D1865" s="18" t="s">
        <v>71</v>
      </c>
      <c r="E1865" s="18" t="s">
        <v>61</v>
      </c>
      <c r="F1865" s="21">
        <v>154</v>
      </c>
    </row>
    <row r="1866" spans="2:6" x14ac:dyDescent="0.25">
      <c r="B1866" s="18" t="s">
        <v>11</v>
      </c>
      <c r="C1866" s="19">
        <f>40133+(3*365)</f>
        <v>41228</v>
      </c>
      <c r="D1866" s="18" t="s">
        <v>74</v>
      </c>
      <c r="E1866" s="18" t="s">
        <v>66</v>
      </c>
      <c r="F1866" s="21">
        <v>1566</v>
      </c>
    </row>
    <row r="1867" spans="2:6" x14ac:dyDescent="0.25">
      <c r="B1867" s="18" t="s">
        <v>25</v>
      </c>
      <c r="C1867" s="19">
        <f>41148+(3*365)</f>
        <v>42243</v>
      </c>
      <c r="D1867" s="18" t="s">
        <v>78</v>
      </c>
      <c r="E1867" s="18" t="s">
        <v>72</v>
      </c>
      <c r="F1867" s="21">
        <v>524</v>
      </c>
    </row>
    <row r="1868" spans="2:6" x14ac:dyDescent="0.25">
      <c r="B1868" s="18" t="s">
        <v>10</v>
      </c>
      <c r="C1868" s="19">
        <f>39956+(3*365)</f>
        <v>41051</v>
      </c>
      <c r="D1868" s="18" t="s">
        <v>65</v>
      </c>
      <c r="E1868" s="18" t="s">
        <v>72</v>
      </c>
      <c r="F1868" s="21">
        <v>400</v>
      </c>
    </row>
    <row r="1869" spans="2:6" x14ac:dyDescent="0.25">
      <c r="B1869" s="18" t="s">
        <v>10</v>
      </c>
      <c r="C1869" s="19">
        <f>40869+(3*365)</f>
        <v>41964</v>
      </c>
      <c r="D1869" s="18" t="s">
        <v>65</v>
      </c>
      <c r="E1869" s="18" t="s">
        <v>66</v>
      </c>
      <c r="F1869" s="21">
        <v>1232</v>
      </c>
    </row>
    <row r="1870" spans="2:6" x14ac:dyDescent="0.25">
      <c r="B1870" s="18" t="s">
        <v>8</v>
      </c>
      <c r="C1870" s="19">
        <f>40670+(3*365)</f>
        <v>41765</v>
      </c>
      <c r="D1870" s="18" t="s">
        <v>81</v>
      </c>
      <c r="E1870" s="18" t="s">
        <v>61</v>
      </c>
      <c r="F1870" s="21">
        <v>320</v>
      </c>
    </row>
    <row r="1871" spans="2:6" x14ac:dyDescent="0.25">
      <c r="B1871" s="18" t="s">
        <v>9</v>
      </c>
      <c r="C1871" s="19">
        <f>40806+(3*365)</f>
        <v>41901</v>
      </c>
      <c r="D1871" s="18" t="s">
        <v>62</v>
      </c>
      <c r="E1871" s="18" t="s">
        <v>69</v>
      </c>
      <c r="F1871" s="21">
        <v>357</v>
      </c>
    </row>
    <row r="1872" spans="2:6" x14ac:dyDescent="0.25">
      <c r="B1872" s="18" t="s">
        <v>11</v>
      </c>
      <c r="C1872" s="19">
        <f>40158+(3*365)</f>
        <v>41253</v>
      </c>
      <c r="D1872" s="18" t="s">
        <v>74</v>
      </c>
      <c r="E1872" s="18" t="s">
        <v>61</v>
      </c>
      <c r="F1872" s="21">
        <v>150</v>
      </c>
    </row>
    <row r="1873" spans="2:6" x14ac:dyDescent="0.25">
      <c r="B1873" s="18" t="s">
        <v>18</v>
      </c>
      <c r="C1873" s="19">
        <f>40569+(3*365)</f>
        <v>41664</v>
      </c>
      <c r="D1873" s="18" t="s">
        <v>68</v>
      </c>
      <c r="E1873" s="18" t="s">
        <v>59</v>
      </c>
      <c r="F1873" s="21">
        <v>728</v>
      </c>
    </row>
    <row r="1874" spans="2:6" x14ac:dyDescent="0.25">
      <c r="B1874" s="18" t="s">
        <v>25</v>
      </c>
      <c r="C1874" s="19">
        <f>40579+(3*365)</f>
        <v>41674</v>
      </c>
      <c r="D1874" s="18" t="s">
        <v>78</v>
      </c>
      <c r="E1874" s="18" t="s">
        <v>69</v>
      </c>
      <c r="F1874" s="21">
        <v>5216</v>
      </c>
    </row>
    <row r="1875" spans="2:6" x14ac:dyDescent="0.25">
      <c r="B1875" s="18" t="s">
        <v>31</v>
      </c>
      <c r="C1875" s="19">
        <f>39902+(3*365)</f>
        <v>40997</v>
      </c>
      <c r="D1875" s="18" t="s">
        <v>76</v>
      </c>
      <c r="E1875" s="18" t="s">
        <v>66</v>
      </c>
      <c r="F1875" s="21">
        <v>768</v>
      </c>
    </row>
    <row r="1876" spans="2:6" x14ac:dyDescent="0.25">
      <c r="B1876" s="18" t="s">
        <v>21</v>
      </c>
      <c r="C1876" s="19">
        <f>40746+(3*365)</f>
        <v>41841</v>
      </c>
      <c r="D1876" s="18" t="s">
        <v>73</v>
      </c>
      <c r="E1876" s="18" t="s">
        <v>75</v>
      </c>
      <c r="F1876" s="21">
        <v>66</v>
      </c>
    </row>
    <row r="1877" spans="2:6" x14ac:dyDescent="0.25">
      <c r="B1877" s="18" t="s">
        <v>8</v>
      </c>
      <c r="C1877" s="19">
        <f>41004+(3*365)</f>
        <v>42099</v>
      </c>
      <c r="D1877" s="18" t="s">
        <v>77</v>
      </c>
      <c r="E1877" s="18" t="s">
        <v>72</v>
      </c>
      <c r="F1877" s="21">
        <v>1880</v>
      </c>
    </row>
    <row r="1878" spans="2:6" x14ac:dyDescent="0.25">
      <c r="B1878" s="18" t="s">
        <v>18</v>
      </c>
      <c r="C1878" s="19">
        <f>41146+(3*365)</f>
        <v>42241</v>
      </c>
      <c r="D1878" s="18" t="s">
        <v>68</v>
      </c>
      <c r="E1878" s="18" t="s">
        <v>69</v>
      </c>
      <c r="F1878" s="21">
        <v>2943</v>
      </c>
    </row>
    <row r="1879" spans="2:6" x14ac:dyDescent="0.25">
      <c r="B1879" s="18" t="s">
        <v>18</v>
      </c>
      <c r="C1879" s="19">
        <f>40763+(3*365)</f>
        <v>41858</v>
      </c>
      <c r="D1879" s="18" t="s">
        <v>68</v>
      </c>
      <c r="E1879" s="18" t="s">
        <v>72</v>
      </c>
      <c r="F1879" s="21">
        <v>660</v>
      </c>
    </row>
    <row r="1880" spans="2:6" x14ac:dyDescent="0.25">
      <c r="B1880" s="18" t="s">
        <v>10</v>
      </c>
      <c r="C1880" s="19">
        <f>40027+(3*365)</f>
        <v>41122</v>
      </c>
      <c r="D1880" s="18" t="s">
        <v>65</v>
      </c>
      <c r="E1880" s="18" t="s">
        <v>72</v>
      </c>
      <c r="F1880" s="21">
        <v>5112</v>
      </c>
    </row>
    <row r="1881" spans="2:6" x14ac:dyDescent="0.25">
      <c r="B1881" s="18" t="s">
        <v>21</v>
      </c>
      <c r="C1881" s="19">
        <f>41219+(3*365)</f>
        <v>42314</v>
      </c>
      <c r="D1881" s="18" t="s">
        <v>58</v>
      </c>
      <c r="E1881" s="18" t="s">
        <v>72</v>
      </c>
      <c r="F1881" s="21">
        <v>2196</v>
      </c>
    </row>
    <row r="1882" spans="2:6" x14ac:dyDescent="0.25">
      <c r="B1882" s="18" t="s">
        <v>9</v>
      </c>
      <c r="C1882" s="19">
        <f>40613+(3*365)</f>
        <v>41708</v>
      </c>
      <c r="D1882" s="18" t="s">
        <v>80</v>
      </c>
      <c r="E1882" s="18" t="s">
        <v>64</v>
      </c>
      <c r="F1882" s="21">
        <v>5172</v>
      </c>
    </row>
    <row r="1883" spans="2:6" x14ac:dyDescent="0.25">
      <c r="B1883" s="18" t="s">
        <v>31</v>
      </c>
      <c r="C1883" s="19">
        <f>40685+(3*365)</f>
        <v>41780</v>
      </c>
      <c r="D1883" s="18" t="s">
        <v>76</v>
      </c>
      <c r="E1883" s="18" t="s">
        <v>59</v>
      </c>
      <c r="F1883" s="21">
        <v>198</v>
      </c>
    </row>
    <row r="1884" spans="2:6" x14ac:dyDescent="0.25">
      <c r="B1884" s="18" t="s">
        <v>10</v>
      </c>
      <c r="C1884" s="19">
        <f>41260+(3*365)</f>
        <v>42355</v>
      </c>
      <c r="D1884" s="18" t="s">
        <v>67</v>
      </c>
      <c r="E1884" s="18" t="s">
        <v>63</v>
      </c>
      <c r="F1884" s="21">
        <v>1377</v>
      </c>
    </row>
    <row r="1885" spans="2:6" x14ac:dyDescent="0.25">
      <c r="B1885" s="18" t="s">
        <v>25</v>
      </c>
      <c r="C1885" s="19">
        <f>40610+(3*365)</f>
        <v>41705</v>
      </c>
      <c r="D1885" s="18" t="s">
        <v>79</v>
      </c>
      <c r="E1885" s="18" t="s">
        <v>63</v>
      </c>
      <c r="F1885" s="21">
        <v>400</v>
      </c>
    </row>
    <row r="1886" spans="2:6" x14ac:dyDescent="0.25">
      <c r="B1886" s="18" t="s">
        <v>31</v>
      </c>
      <c r="C1886" s="19">
        <f>40996+(3*365)</f>
        <v>42091</v>
      </c>
      <c r="D1886" s="18" t="s">
        <v>70</v>
      </c>
      <c r="E1886" s="18" t="s">
        <v>64</v>
      </c>
      <c r="F1886" s="21">
        <v>19656</v>
      </c>
    </row>
    <row r="1887" spans="2:6" x14ac:dyDescent="0.25">
      <c r="B1887" s="18" t="s">
        <v>8</v>
      </c>
      <c r="C1887" s="19">
        <f>40819+(3*365)</f>
        <v>41914</v>
      </c>
      <c r="D1887" s="18" t="s">
        <v>81</v>
      </c>
      <c r="E1887" s="18" t="s">
        <v>66</v>
      </c>
      <c r="F1887" s="21">
        <v>2380</v>
      </c>
    </row>
    <row r="1888" spans="2:6" x14ac:dyDescent="0.25">
      <c r="B1888" s="18" t="s">
        <v>31</v>
      </c>
      <c r="C1888" s="19">
        <f>39975+(3*365)</f>
        <v>41070</v>
      </c>
      <c r="D1888" s="18" t="s">
        <v>70</v>
      </c>
      <c r="E1888" s="18" t="s">
        <v>66</v>
      </c>
      <c r="F1888" s="21">
        <v>1365</v>
      </c>
    </row>
    <row r="1889" spans="2:6" x14ac:dyDescent="0.25">
      <c r="B1889" s="18" t="s">
        <v>18</v>
      </c>
      <c r="C1889" s="19">
        <f>40033+(3*365)</f>
        <v>41128</v>
      </c>
      <c r="D1889" s="18" t="s">
        <v>71</v>
      </c>
      <c r="E1889" s="18" t="s">
        <v>75</v>
      </c>
      <c r="F1889" s="21">
        <v>288</v>
      </c>
    </row>
    <row r="1890" spans="2:6" x14ac:dyDescent="0.25">
      <c r="B1890" s="18" t="s">
        <v>31</v>
      </c>
      <c r="C1890" s="19">
        <f>40860+(3*365)</f>
        <v>41955</v>
      </c>
      <c r="D1890" s="18" t="s">
        <v>70</v>
      </c>
      <c r="E1890" s="18" t="s">
        <v>59</v>
      </c>
      <c r="F1890" s="21">
        <v>333</v>
      </c>
    </row>
    <row r="1891" spans="2:6" x14ac:dyDescent="0.25">
      <c r="B1891" s="18" t="s">
        <v>21</v>
      </c>
      <c r="C1891" s="19">
        <f>39983+(3*365)</f>
        <v>41078</v>
      </c>
      <c r="D1891" s="18" t="s">
        <v>73</v>
      </c>
      <c r="E1891" s="18" t="s">
        <v>66</v>
      </c>
      <c r="F1891" s="21">
        <v>66</v>
      </c>
    </row>
    <row r="1892" spans="2:6" x14ac:dyDescent="0.25">
      <c r="B1892" s="18" t="s">
        <v>21</v>
      </c>
      <c r="C1892" s="19">
        <f>41256+(3*365)</f>
        <v>42351</v>
      </c>
      <c r="D1892" s="18" t="s">
        <v>58</v>
      </c>
      <c r="E1892" s="18" t="s">
        <v>61</v>
      </c>
      <c r="F1892" s="21">
        <v>2628</v>
      </c>
    </row>
    <row r="1893" spans="2:6" x14ac:dyDescent="0.25">
      <c r="B1893" s="18" t="s">
        <v>21</v>
      </c>
      <c r="C1893" s="19">
        <f>40483+(3*365)</f>
        <v>41578</v>
      </c>
      <c r="D1893" s="18" t="s">
        <v>73</v>
      </c>
      <c r="E1893" s="18" t="s">
        <v>75</v>
      </c>
      <c r="F1893" s="21">
        <v>468</v>
      </c>
    </row>
    <row r="1894" spans="2:6" x14ac:dyDescent="0.25">
      <c r="B1894" s="18" t="s">
        <v>31</v>
      </c>
      <c r="C1894" s="19">
        <f>40925+(3*365)</f>
        <v>42020</v>
      </c>
      <c r="D1894" s="18" t="s">
        <v>70</v>
      </c>
      <c r="E1894" s="18" t="s">
        <v>69</v>
      </c>
      <c r="F1894" s="21">
        <v>606</v>
      </c>
    </row>
    <row r="1895" spans="2:6" x14ac:dyDescent="0.25">
      <c r="B1895" s="18" t="s">
        <v>8</v>
      </c>
      <c r="C1895" s="19">
        <f>40600+(3*365)</f>
        <v>41695</v>
      </c>
      <c r="D1895" s="18" t="s">
        <v>81</v>
      </c>
      <c r="E1895" s="18" t="s">
        <v>61</v>
      </c>
      <c r="F1895" s="21">
        <v>1008</v>
      </c>
    </row>
    <row r="1896" spans="2:6" x14ac:dyDescent="0.25">
      <c r="B1896" s="18" t="s">
        <v>21</v>
      </c>
      <c r="C1896" s="19">
        <f>40720+(3*365)</f>
        <v>41815</v>
      </c>
      <c r="D1896" s="18" t="s">
        <v>73</v>
      </c>
      <c r="E1896" s="18" t="s">
        <v>64</v>
      </c>
      <c r="F1896" s="21">
        <v>2610</v>
      </c>
    </row>
    <row r="1897" spans="2:6" x14ac:dyDescent="0.25">
      <c r="B1897" s="18" t="s">
        <v>31</v>
      </c>
      <c r="C1897" s="19">
        <f>40663+(3*365)</f>
        <v>41758</v>
      </c>
      <c r="D1897" s="18" t="s">
        <v>70</v>
      </c>
      <c r="E1897" s="18" t="s">
        <v>75</v>
      </c>
      <c r="F1897" s="21">
        <v>117</v>
      </c>
    </row>
    <row r="1898" spans="2:6" x14ac:dyDescent="0.25">
      <c r="B1898" s="18" t="s">
        <v>9</v>
      </c>
      <c r="C1898" s="19">
        <f>40150+(3*365)</f>
        <v>41245</v>
      </c>
      <c r="D1898" s="18" t="s">
        <v>62</v>
      </c>
      <c r="E1898" s="18" t="s">
        <v>72</v>
      </c>
      <c r="F1898" s="21">
        <v>1284</v>
      </c>
    </row>
    <row r="1899" spans="2:6" x14ac:dyDescent="0.25">
      <c r="B1899" s="18" t="s">
        <v>9</v>
      </c>
      <c r="C1899" s="19">
        <f>39991+(3*365)</f>
        <v>41086</v>
      </c>
      <c r="D1899" s="18" t="s">
        <v>80</v>
      </c>
      <c r="E1899" s="18" t="s">
        <v>69</v>
      </c>
      <c r="F1899" s="21">
        <v>1500</v>
      </c>
    </row>
    <row r="1900" spans="2:6" x14ac:dyDescent="0.25">
      <c r="B1900" s="18" t="s">
        <v>31</v>
      </c>
      <c r="C1900" s="19">
        <f>40209+(3*365)</f>
        <v>41304</v>
      </c>
      <c r="D1900" s="18" t="s">
        <v>76</v>
      </c>
      <c r="E1900" s="18" t="s">
        <v>59</v>
      </c>
      <c r="F1900" s="21">
        <v>408</v>
      </c>
    </row>
    <row r="1901" spans="2:6" x14ac:dyDescent="0.25">
      <c r="B1901" s="18" t="s">
        <v>11</v>
      </c>
      <c r="C1901" s="19">
        <f>40160+(3*365)</f>
        <v>41255</v>
      </c>
      <c r="D1901" s="18" t="s">
        <v>74</v>
      </c>
      <c r="E1901" s="18" t="s">
        <v>64</v>
      </c>
      <c r="F1901" s="21">
        <v>7716</v>
      </c>
    </row>
    <row r="1902" spans="2:6" x14ac:dyDescent="0.25">
      <c r="B1902" s="18" t="s">
        <v>10</v>
      </c>
      <c r="C1902" s="19">
        <f>40748+(3*365)</f>
        <v>41843</v>
      </c>
      <c r="D1902" s="18" t="s">
        <v>67</v>
      </c>
      <c r="E1902" s="18" t="s">
        <v>63</v>
      </c>
      <c r="F1902" s="21">
        <v>400</v>
      </c>
    </row>
    <row r="1903" spans="2:6" x14ac:dyDescent="0.25">
      <c r="B1903" s="18" t="s">
        <v>10</v>
      </c>
      <c r="C1903" s="19">
        <f>40086+(3*365)</f>
        <v>41181</v>
      </c>
      <c r="D1903" s="18" t="s">
        <v>65</v>
      </c>
      <c r="E1903" s="18" t="s">
        <v>72</v>
      </c>
      <c r="F1903" s="21">
        <v>7072</v>
      </c>
    </row>
    <row r="1904" spans="2:6" x14ac:dyDescent="0.25">
      <c r="B1904" s="18" t="s">
        <v>18</v>
      </c>
      <c r="C1904" s="19">
        <f>41032+(3*365)</f>
        <v>42127</v>
      </c>
      <c r="D1904" s="18" t="s">
        <v>71</v>
      </c>
      <c r="E1904" s="18" t="s">
        <v>59</v>
      </c>
      <c r="F1904" s="21">
        <v>483</v>
      </c>
    </row>
    <row r="1905" spans="2:6" x14ac:dyDescent="0.25">
      <c r="B1905" s="18" t="s">
        <v>25</v>
      </c>
      <c r="C1905" s="19">
        <f>40481+(3*365)</f>
        <v>41576</v>
      </c>
      <c r="D1905" s="18" t="s">
        <v>78</v>
      </c>
      <c r="E1905" s="18" t="s">
        <v>64</v>
      </c>
      <c r="F1905" s="21">
        <v>8730</v>
      </c>
    </row>
    <row r="1906" spans="2:6" x14ac:dyDescent="0.25">
      <c r="B1906" s="18" t="s">
        <v>8</v>
      </c>
      <c r="C1906" s="19">
        <f>41215+(3*365)</f>
        <v>42310</v>
      </c>
      <c r="D1906" s="18" t="s">
        <v>77</v>
      </c>
      <c r="E1906" s="18" t="s">
        <v>64</v>
      </c>
      <c r="F1906" s="21">
        <v>4956</v>
      </c>
    </row>
    <row r="1907" spans="2:6" x14ac:dyDescent="0.25">
      <c r="B1907" s="18" t="s">
        <v>18</v>
      </c>
      <c r="C1907" s="19">
        <f>40764+(3*365)</f>
        <v>41859</v>
      </c>
      <c r="D1907" s="18" t="s">
        <v>71</v>
      </c>
      <c r="E1907" s="18" t="s">
        <v>64</v>
      </c>
      <c r="F1907" s="21">
        <v>9060</v>
      </c>
    </row>
    <row r="1908" spans="2:6" x14ac:dyDescent="0.25">
      <c r="B1908" s="18" t="s">
        <v>31</v>
      </c>
      <c r="C1908" s="19">
        <f>39822+(3*365)</f>
        <v>40917</v>
      </c>
      <c r="D1908" s="18" t="s">
        <v>76</v>
      </c>
      <c r="E1908" s="18" t="s">
        <v>59</v>
      </c>
      <c r="F1908" s="21">
        <v>594</v>
      </c>
    </row>
    <row r="1909" spans="2:6" x14ac:dyDescent="0.25">
      <c r="B1909" s="18" t="s">
        <v>25</v>
      </c>
      <c r="C1909" s="19">
        <f>41046+(3*365)</f>
        <v>42141</v>
      </c>
      <c r="D1909" s="18" t="s">
        <v>79</v>
      </c>
      <c r="E1909" s="18" t="s">
        <v>64</v>
      </c>
      <c r="F1909" s="21">
        <v>1400</v>
      </c>
    </row>
    <row r="1910" spans="2:6" x14ac:dyDescent="0.25">
      <c r="B1910" s="18" t="s">
        <v>21</v>
      </c>
      <c r="C1910" s="19">
        <f>40750+(3*365)</f>
        <v>41845</v>
      </c>
      <c r="D1910" s="18" t="s">
        <v>73</v>
      </c>
      <c r="E1910" s="18" t="s">
        <v>66</v>
      </c>
      <c r="F1910" s="21">
        <v>465</v>
      </c>
    </row>
    <row r="1911" spans="2:6" x14ac:dyDescent="0.25">
      <c r="B1911" s="18" t="s">
        <v>21</v>
      </c>
      <c r="C1911" s="19">
        <f>40170+(3*365)</f>
        <v>41265</v>
      </c>
      <c r="D1911" s="18" t="s">
        <v>73</v>
      </c>
      <c r="E1911" s="18" t="s">
        <v>72</v>
      </c>
      <c r="F1911" s="21">
        <v>540</v>
      </c>
    </row>
    <row r="1912" spans="2:6" x14ac:dyDescent="0.25">
      <c r="B1912" s="18" t="s">
        <v>18</v>
      </c>
      <c r="C1912" s="19">
        <f>40975+(3*365)</f>
        <v>42070</v>
      </c>
      <c r="D1912" s="18" t="s">
        <v>68</v>
      </c>
      <c r="E1912" s="18" t="s">
        <v>69</v>
      </c>
      <c r="F1912" s="21">
        <v>1032</v>
      </c>
    </row>
    <row r="1913" spans="2:6" x14ac:dyDescent="0.25">
      <c r="B1913" s="18" t="s">
        <v>25</v>
      </c>
      <c r="C1913" s="19">
        <f>40875+(3*365)</f>
        <v>41970</v>
      </c>
      <c r="D1913" s="18" t="s">
        <v>78</v>
      </c>
      <c r="E1913" s="18" t="s">
        <v>63</v>
      </c>
      <c r="F1913" s="21">
        <v>1344</v>
      </c>
    </row>
    <row r="1914" spans="2:6" x14ac:dyDescent="0.25">
      <c r="B1914" s="18" t="s">
        <v>31</v>
      </c>
      <c r="C1914" s="19">
        <f>40821+(3*365)</f>
        <v>41916</v>
      </c>
      <c r="D1914" s="18" t="s">
        <v>76</v>
      </c>
      <c r="E1914" s="18" t="s">
        <v>61</v>
      </c>
      <c r="F1914" s="21">
        <v>402</v>
      </c>
    </row>
    <row r="1915" spans="2:6" x14ac:dyDescent="0.25">
      <c r="B1915" s="18" t="s">
        <v>10</v>
      </c>
      <c r="C1915" s="19">
        <f>41021+(3*365)</f>
        <v>42116</v>
      </c>
      <c r="D1915" s="18" t="s">
        <v>65</v>
      </c>
      <c r="E1915" s="18" t="s">
        <v>69</v>
      </c>
      <c r="F1915" s="21">
        <v>3045</v>
      </c>
    </row>
    <row r="1916" spans="2:6" x14ac:dyDescent="0.25">
      <c r="B1916" s="18" t="s">
        <v>10</v>
      </c>
      <c r="C1916" s="19">
        <f>40793+(3*365)</f>
        <v>41888</v>
      </c>
      <c r="D1916" s="18" t="s">
        <v>67</v>
      </c>
      <c r="E1916" s="18" t="s">
        <v>75</v>
      </c>
      <c r="F1916" s="21">
        <v>304</v>
      </c>
    </row>
    <row r="1917" spans="2:6" x14ac:dyDescent="0.25">
      <c r="B1917" s="18" t="s">
        <v>25</v>
      </c>
      <c r="C1917" s="19">
        <f>41057+(3*365)</f>
        <v>42152</v>
      </c>
      <c r="D1917" s="18" t="s">
        <v>79</v>
      </c>
      <c r="E1917" s="18" t="s">
        <v>69</v>
      </c>
      <c r="F1917" s="21">
        <v>1710</v>
      </c>
    </row>
    <row r="1918" spans="2:6" x14ac:dyDescent="0.25">
      <c r="B1918" s="18" t="s">
        <v>11</v>
      </c>
      <c r="C1918" s="19">
        <f>40862+(3*365)</f>
        <v>41957</v>
      </c>
      <c r="D1918" s="18" t="s">
        <v>74</v>
      </c>
      <c r="E1918" s="18" t="s">
        <v>63</v>
      </c>
      <c r="F1918" s="21">
        <v>423</v>
      </c>
    </row>
    <row r="1919" spans="2:6" x14ac:dyDescent="0.25">
      <c r="B1919" s="18" t="s">
        <v>25</v>
      </c>
      <c r="C1919" s="19">
        <f>41243+(3*365)</f>
        <v>42338</v>
      </c>
      <c r="D1919" s="18" t="s">
        <v>79</v>
      </c>
      <c r="E1919" s="18" t="s">
        <v>69</v>
      </c>
      <c r="F1919" s="21">
        <v>1480</v>
      </c>
    </row>
    <row r="1920" spans="2:6" x14ac:dyDescent="0.25">
      <c r="B1920" s="18" t="s">
        <v>8</v>
      </c>
      <c r="C1920" s="19">
        <f>41026+(3*365)</f>
        <v>42121</v>
      </c>
      <c r="D1920" s="18" t="s">
        <v>77</v>
      </c>
      <c r="E1920" s="18" t="s">
        <v>63</v>
      </c>
      <c r="F1920" s="21">
        <v>1536</v>
      </c>
    </row>
    <row r="1921" spans="2:6" x14ac:dyDescent="0.25">
      <c r="B1921" s="18" t="s">
        <v>31</v>
      </c>
      <c r="C1921" s="19">
        <f>40263+(3*365)</f>
        <v>41358</v>
      </c>
      <c r="D1921" s="18" t="s">
        <v>70</v>
      </c>
      <c r="E1921" s="18" t="s">
        <v>63</v>
      </c>
      <c r="F1921" s="21">
        <v>1323</v>
      </c>
    </row>
    <row r="1922" spans="2:6" x14ac:dyDescent="0.25">
      <c r="B1922" s="18" t="s">
        <v>10</v>
      </c>
      <c r="C1922" s="19">
        <f>39954+(3*365)</f>
        <v>41049</v>
      </c>
      <c r="D1922" s="18" t="s">
        <v>67</v>
      </c>
      <c r="E1922" s="18" t="s">
        <v>63</v>
      </c>
      <c r="F1922" s="21">
        <v>1032</v>
      </c>
    </row>
    <row r="1923" spans="2:6" x14ac:dyDescent="0.25">
      <c r="B1923" s="18" t="s">
        <v>21</v>
      </c>
      <c r="C1923" s="19">
        <f>40111+(3*365)</f>
        <v>41206</v>
      </c>
      <c r="D1923" s="18" t="s">
        <v>58</v>
      </c>
      <c r="E1923" s="18" t="s">
        <v>69</v>
      </c>
      <c r="F1923" s="21">
        <v>328</v>
      </c>
    </row>
    <row r="1924" spans="2:6" x14ac:dyDescent="0.25">
      <c r="B1924" s="18" t="s">
        <v>9</v>
      </c>
      <c r="C1924" s="19">
        <f>41137+(3*365)</f>
        <v>42232</v>
      </c>
      <c r="D1924" s="18" t="s">
        <v>62</v>
      </c>
      <c r="E1924" s="18" t="s">
        <v>61</v>
      </c>
      <c r="F1924" s="21">
        <v>266</v>
      </c>
    </row>
    <row r="1925" spans="2:6" x14ac:dyDescent="0.25">
      <c r="B1925" s="18" t="s">
        <v>9</v>
      </c>
      <c r="C1925" s="19">
        <f>41165+(3*365)</f>
        <v>42260</v>
      </c>
      <c r="D1925" s="18" t="s">
        <v>62</v>
      </c>
      <c r="E1925" s="18" t="s">
        <v>75</v>
      </c>
      <c r="F1925" s="21">
        <v>108</v>
      </c>
    </row>
    <row r="1926" spans="2:6" x14ac:dyDescent="0.25">
      <c r="B1926" s="18" t="s">
        <v>10</v>
      </c>
      <c r="C1926" s="19">
        <f>40263+(3*365)</f>
        <v>41358</v>
      </c>
      <c r="D1926" s="18" t="s">
        <v>67</v>
      </c>
      <c r="E1926" s="18" t="s">
        <v>63</v>
      </c>
      <c r="F1926" s="21">
        <v>864</v>
      </c>
    </row>
    <row r="1927" spans="2:6" x14ac:dyDescent="0.25">
      <c r="B1927" s="18" t="s">
        <v>18</v>
      </c>
      <c r="C1927" s="19">
        <f>40454+(3*365)</f>
        <v>41549</v>
      </c>
      <c r="D1927" s="18" t="s">
        <v>71</v>
      </c>
      <c r="E1927" s="18" t="s">
        <v>75</v>
      </c>
      <c r="F1927" s="21">
        <v>279</v>
      </c>
    </row>
    <row r="1928" spans="2:6" x14ac:dyDescent="0.25">
      <c r="B1928" s="18" t="s">
        <v>11</v>
      </c>
      <c r="C1928" s="19">
        <f>41244+(3*365)</f>
        <v>42339</v>
      </c>
      <c r="D1928" s="18" t="s">
        <v>60</v>
      </c>
      <c r="E1928" s="18" t="s">
        <v>72</v>
      </c>
      <c r="F1928" s="21">
        <v>928</v>
      </c>
    </row>
    <row r="1929" spans="2:6" x14ac:dyDescent="0.25">
      <c r="B1929" s="18" t="s">
        <v>25</v>
      </c>
      <c r="C1929" s="19">
        <f>40827+(3*365)</f>
        <v>41922</v>
      </c>
      <c r="D1929" s="18" t="s">
        <v>79</v>
      </c>
      <c r="E1929" s="18" t="s">
        <v>61</v>
      </c>
      <c r="F1929" s="21">
        <v>188</v>
      </c>
    </row>
    <row r="1930" spans="2:6" x14ac:dyDescent="0.25">
      <c r="B1930" s="18" t="s">
        <v>21</v>
      </c>
      <c r="C1930" s="19">
        <f>41146+(3*365)</f>
        <v>42241</v>
      </c>
      <c r="D1930" s="18" t="s">
        <v>73</v>
      </c>
      <c r="E1930" s="18" t="s">
        <v>59</v>
      </c>
      <c r="F1930" s="21">
        <v>208</v>
      </c>
    </row>
    <row r="1931" spans="2:6" x14ac:dyDescent="0.25">
      <c r="B1931" s="18" t="s">
        <v>25</v>
      </c>
      <c r="C1931" s="19">
        <f>39827+(3*365)</f>
        <v>40922</v>
      </c>
      <c r="D1931" s="18" t="s">
        <v>78</v>
      </c>
      <c r="E1931" s="18" t="s">
        <v>75</v>
      </c>
      <c r="F1931" s="21">
        <v>252</v>
      </c>
    </row>
    <row r="1932" spans="2:6" x14ac:dyDescent="0.25">
      <c r="B1932" s="18" t="s">
        <v>25</v>
      </c>
      <c r="C1932" s="19">
        <f>39964+(3*365)</f>
        <v>41059</v>
      </c>
      <c r="D1932" s="18" t="s">
        <v>79</v>
      </c>
      <c r="E1932" s="18" t="s">
        <v>59</v>
      </c>
      <c r="F1932" s="21">
        <v>160</v>
      </c>
    </row>
    <row r="1933" spans="2:6" x14ac:dyDescent="0.25">
      <c r="B1933" s="18" t="s">
        <v>25</v>
      </c>
      <c r="C1933" s="19">
        <f>40221+(3*365)</f>
        <v>41316</v>
      </c>
      <c r="D1933" s="18" t="s">
        <v>79</v>
      </c>
      <c r="E1933" s="18" t="s">
        <v>66</v>
      </c>
      <c r="F1933" s="21">
        <v>666</v>
      </c>
    </row>
    <row r="1934" spans="2:6" x14ac:dyDescent="0.25">
      <c r="B1934" s="18" t="s">
        <v>31</v>
      </c>
      <c r="C1934" s="19">
        <f>40028+(3*365)</f>
        <v>41123</v>
      </c>
      <c r="D1934" s="18" t="s">
        <v>70</v>
      </c>
      <c r="E1934" s="18" t="s">
        <v>63</v>
      </c>
      <c r="F1934" s="21">
        <v>468</v>
      </c>
    </row>
    <row r="1935" spans="2:6" x14ac:dyDescent="0.25">
      <c r="B1935" s="18" t="s">
        <v>10</v>
      </c>
      <c r="C1935" s="19">
        <f>41219+(3*365)</f>
        <v>42314</v>
      </c>
      <c r="D1935" s="18" t="s">
        <v>67</v>
      </c>
      <c r="E1935" s="18" t="s">
        <v>64</v>
      </c>
      <c r="F1935" s="21">
        <v>11790</v>
      </c>
    </row>
    <row r="1936" spans="2:6" x14ac:dyDescent="0.25">
      <c r="B1936" s="18" t="s">
        <v>21</v>
      </c>
      <c r="C1936" s="19">
        <f>39946+(3*365)</f>
        <v>41041</v>
      </c>
      <c r="D1936" s="18" t="s">
        <v>58</v>
      </c>
      <c r="E1936" s="18" t="s">
        <v>72</v>
      </c>
      <c r="F1936" s="21">
        <v>755</v>
      </c>
    </row>
    <row r="1937" spans="2:6" x14ac:dyDescent="0.25">
      <c r="B1937" s="18" t="s">
        <v>21</v>
      </c>
      <c r="C1937" s="19">
        <f>40813+(3*365)</f>
        <v>41908</v>
      </c>
      <c r="D1937" s="18" t="s">
        <v>73</v>
      </c>
      <c r="E1937" s="18" t="s">
        <v>75</v>
      </c>
      <c r="F1937" s="21">
        <v>420</v>
      </c>
    </row>
    <row r="1938" spans="2:6" x14ac:dyDescent="0.25">
      <c r="B1938" s="18" t="s">
        <v>21</v>
      </c>
      <c r="C1938" s="19">
        <f>40792+(3*365)</f>
        <v>41887</v>
      </c>
      <c r="D1938" s="18" t="s">
        <v>58</v>
      </c>
      <c r="E1938" s="18" t="s">
        <v>72</v>
      </c>
      <c r="F1938" s="21">
        <v>837</v>
      </c>
    </row>
    <row r="1939" spans="2:6" x14ac:dyDescent="0.25">
      <c r="B1939" s="18" t="s">
        <v>18</v>
      </c>
      <c r="C1939" s="19">
        <f>39939+(3*365)</f>
        <v>41034</v>
      </c>
      <c r="D1939" s="18" t="s">
        <v>71</v>
      </c>
      <c r="E1939" s="18" t="s">
        <v>63</v>
      </c>
      <c r="F1939" s="21">
        <v>1062</v>
      </c>
    </row>
    <row r="1940" spans="2:6" x14ac:dyDescent="0.25">
      <c r="B1940" s="18" t="s">
        <v>18</v>
      </c>
      <c r="C1940" s="19">
        <f>40632+(3*365)</f>
        <v>41727</v>
      </c>
      <c r="D1940" s="18" t="s">
        <v>71</v>
      </c>
      <c r="E1940" s="18" t="s">
        <v>64</v>
      </c>
      <c r="F1940" s="21">
        <v>11664</v>
      </c>
    </row>
    <row r="1941" spans="2:6" x14ac:dyDescent="0.25">
      <c r="B1941" s="18" t="s">
        <v>18</v>
      </c>
      <c r="C1941" s="19">
        <f>40116+(3*365)</f>
        <v>41211</v>
      </c>
      <c r="D1941" s="18" t="s">
        <v>71</v>
      </c>
      <c r="E1941" s="18" t="s">
        <v>61</v>
      </c>
      <c r="F1941" s="21">
        <v>264</v>
      </c>
    </row>
    <row r="1942" spans="2:6" x14ac:dyDescent="0.25">
      <c r="B1942" s="18" t="s">
        <v>31</v>
      </c>
      <c r="C1942" s="19">
        <f>40447+(3*365)</f>
        <v>41542</v>
      </c>
      <c r="D1942" s="18" t="s">
        <v>76</v>
      </c>
      <c r="E1942" s="18" t="s">
        <v>59</v>
      </c>
      <c r="F1942" s="21">
        <v>513</v>
      </c>
    </row>
    <row r="1943" spans="2:6" x14ac:dyDescent="0.25">
      <c r="B1943" s="18" t="s">
        <v>25</v>
      </c>
      <c r="C1943" s="19">
        <f>40301+(3*365)</f>
        <v>41396</v>
      </c>
      <c r="D1943" s="18" t="s">
        <v>78</v>
      </c>
      <c r="E1943" s="18" t="s">
        <v>61</v>
      </c>
      <c r="F1943" s="21">
        <v>2106</v>
      </c>
    </row>
    <row r="1944" spans="2:6" x14ac:dyDescent="0.25">
      <c r="B1944" s="18" t="s">
        <v>25</v>
      </c>
      <c r="C1944" s="19">
        <f>40003+(3*365)</f>
        <v>41098</v>
      </c>
      <c r="D1944" s="18" t="s">
        <v>78</v>
      </c>
      <c r="E1944" s="18" t="s">
        <v>61</v>
      </c>
      <c r="F1944" s="21">
        <v>320</v>
      </c>
    </row>
    <row r="1945" spans="2:6" x14ac:dyDescent="0.25">
      <c r="B1945" s="18" t="s">
        <v>25</v>
      </c>
      <c r="C1945" s="19">
        <f>40049+(3*365)</f>
        <v>41144</v>
      </c>
      <c r="D1945" s="18" t="s">
        <v>79</v>
      </c>
      <c r="E1945" s="18" t="s">
        <v>69</v>
      </c>
      <c r="F1945" s="21">
        <v>2576</v>
      </c>
    </row>
    <row r="1946" spans="2:6" x14ac:dyDescent="0.25">
      <c r="B1946" s="18" t="s">
        <v>18</v>
      </c>
      <c r="C1946" s="19">
        <f>39834+(3*365)</f>
        <v>40929</v>
      </c>
      <c r="D1946" s="18" t="s">
        <v>68</v>
      </c>
      <c r="E1946" s="18" t="s">
        <v>66</v>
      </c>
      <c r="F1946" s="21">
        <v>140</v>
      </c>
    </row>
    <row r="1947" spans="2:6" x14ac:dyDescent="0.25">
      <c r="B1947" s="18" t="s">
        <v>31</v>
      </c>
      <c r="C1947" s="19">
        <f>40064+(3*365)</f>
        <v>41159</v>
      </c>
      <c r="D1947" s="18" t="s">
        <v>70</v>
      </c>
      <c r="E1947" s="18" t="s">
        <v>64</v>
      </c>
      <c r="F1947" s="21">
        <v>3168</v>
      </c>
    </row>
    <row r="1948" spans="2:6" x14ac:dyDescent="0.25">
      <c r="B1948" s="18" t="s">
        <v>10</v>
      </c>
      <c r="C1948" s="19">
        <f>40088+(3*365)</f>
        <v>41183</v>
      </c>
      <c r="D1948" s="18" t="s">
        <v>65</v>
      </c>
      <c r="E1948" s="18" t="s">
        <v>75</v>
      </c>
      <c r="F1948" s="21">
        <v>500</v>
      </c>
    </row>
    <row r="1949" spans="2:6" x14ac:dyDescent="0.25">
      <c r="B1949" s="18" t="s">
        <v>11</v>
      </c>
      <c r="C1949" s="19">
        <f>40476+(3*365)</f>
        <v>41571</v>
      </c>
      <c r="D1949" s="18" t="s">
        <v>60</v>
      </c>
      <c r="E1949" s="18" t="s">
        <v>61</v>
      </c>
      <c r="F1949" s="21">
        <v>360</v>
      </c>
    </row>
    <row r="1950" spans="2:6" x14ac:dyDescent="0.25">
      <c r="B1950" s="18" t="s">
        <v>8</v>
      </c>
      <c r="C1950" s="19">
        <f>40177+(3*365)</f>
        <v>41272</v>
      </c>
      <c r="D1950" s="18" t="s">
        <v>77</v>
      </c>
      <c r="E1950" s="18" t="s">
        <v>59</v>
      </c>
      <c r="F1950" s="21">
        <v>270</v>
      </c>
    </row>
    <row r="1951" spans="2:6" x14ac:dyDescent="0.25">
      <c r="B1951" s="18" t="s">
        <v>8</v>
      </c>
      <c r="C1951" s="19">
        <f>40384+(3*365)</f>
        <v>41479</v>
      </c>
      <c r="D1951" s="18" t="s">
        <v>81</v>
      </c>
      <c r="E1951" s="18" t="s">
        <v>75</v>
      </c>
      <c r="F1951" s="21">
        <v>132</v>
      </c>
    </row>
    <row r="1952" spans="2:6" x14ac:dyDescent="0.25">
      <c r="B1952" s="18" t="s">
        <v>10</v>
      </c>
      <c r="C1952" s="19">
        <f>41080+(3*365)</f>
        <v>42175</v>
      </c>
      <c r="D1952" s="18" t="s">
        <v>67</v>
      </c>
      <c r="E1952" s="18" t="s">
        <v>63</v>
      </c>
      <c r="F1952" s="21">
        <v>594</v>
      </c>
    </row>
    <row r="1953" spans="2:6" x14ac:dyDescent="0.25">
      <c r="B1953" s="18" t="s">
        <v>25</v>
      </c>
      <c r="C1953" s="19">
        <f>40942+(3*365)</f>
        <v>42037</v>
      </c>
      <c r="D1953" s="18" t="s">
        <v>79</v>
      </c>
      <c r="E1953" s="18" t="s">
        <v>61</v>
      </c>
      <c r="F1953" s="21">
        <v>264</v>
      </c>
    </row>
    <row r="1954" spans="2:6" x14ac:dyDescent="0.25">
      <c r="B1954" s="18" t="s">
        <v>25</v>
      </c>
      <c r="C1954" s="19">
        <f>40288+(3*365)</f>
        <v>41383</v>
      </c>
      <c r="D1954" s="18" t="s">
        <v>78</v>
      </c>
      <c r="E1954" s="18" t="s">
        <v>69</v>
      </c>
      <c r="F1954" s="21">
        <v>4752</v>
      </c>
    </row>
    <row r="1955" spans="2:6" x14ac:dyDescent="0.25">
      <c r="B1955" s="18" t="s">
        <v>10</v>
      </c>
      <c r="C1955" s="19">
        <f>40356+(3*365)</f>
        <v>41451</v>
      </c>
      <c r="D1955" s="18" t="s">
        <v>65</v>
      </c>
      <c r="E1955" s="18" t="s">
        <v>66</v>
      </c>
      <c r="F1955" s="21">
        <v>645</v>
      </c>
    </row>
    <row r="1956" spans="2:6" x14ac:dyDescent="0.25">
      <c r="B1956" s="18" t="s">
        <v>31</v>
      </c>
      <c r="C1956" s="19">
        <f>40328+(3*365)</f>
        <v>41423</v>
      </c>
      <c r="D1956" s="18" t="s">
        <v>70</v>
      </c>
      <c r="E1956" s="18" t="s">
        <v>72</v>
      </c>
      <c r="F1956" s="21">
        <v>2916</v>
      </c>
    </row>
    <row r="1957" spans="2:6" x14ac:dyDescent="0.25">
      <c r="B1957" s="18" t="s">
        <v>18</v>
      </c>
      <c r="C1957" s="19">
        <f>40878+(3*365)</f>
        <v>41973</v>
      </c>
      <c r="D1957" s="18" t="s">
        <v>71</v>
      </c>
      <c r="E1957" s="18" t="s">
        <v>66</v>
      </c>
      <c r="F1957" s="21">
        <v>2184</v>
      </c>
    </row>
    <row r="1958" spans="2:6" x14ac:dyDescent="0.25">
      <c r="B1958" s="18" t="s">
        <v>25</v>
      </c>
      <c r="C1958" s="19">
        <f>39840+(3*365)</f>
        <v>40935</v>
      </c>
      <c r="D1958" s="18" t="s">
        <v>79</v>
      </c>
      <c r="E1958" s="18" t="s">
        <v>75</v>
      </c>
      <c r="F1958" s="21">
        <v>336</v>
      </c>
    </row>
    <row r="1959" spans="2:6" x14ac:dyDescent="0.25">
      <c r="B1959" s="18" t="s">
        <v>11</v>
      </c>
      <c r="C1959" s="19">
        <f>40415+(3*365)</f>
        <v>41510</v>
      </c>
      <c r="D1959" s="18" t="s">
        <v>60</v>
      </c>
      <c r="E1959" s="18" t="s">
        <v>59</v>
      </c>
      <c r="F1959" s="21">
        <v>378</v>
      </c>
    </row>
    <row r="1960" spans="2:6" x14ac:dyDescent="0.25">
      <c r="B1960" s="18" t="s">
        <v>8</v>
      </c>
      <c r="C1960" s="19">
        <f>40346+(3*365)</f>
        <v>41441</v>
      </c>
      <c r="D1960" s="18" t="s">
        <v>81</v>
      </c>
      <c r="E1960" s="18" t="s">
        <v>75</v>
      </c>
      <c r="F1960" s="21">
        <v>1036</v>
      </c>
    </row>
    <row r="1961" spans="2:6" x14ac:dyDescent="0.25">
      <c r="B1961" s="18" t="s">
        <v>8</v>
      </c>
      <c r="C1961" s="19">
        <f>40196+(3*365)</f>
        <v>41291</v>
      </c>
      <c r="D1961" s="18" t="s">
        <v>81</v>
      </c>
      <c r="E1961" s="18" t="s">
        <v>63</v>
      </c>
      <c r="F1961" s="21">
        <v>1360</v>
      </c>
    </row>
    <row r="1962" spans="2:6" x14ac:dyDescent="0.25">
      <c r="B1962" s="18" t="s">
        <v>9</v>
      </c>
      <c r="C1962" s="19">
        <f>40427+(3*365)</f>
        <v>41522</v>
      </c>
      <c r="D1962" s="18" t="s">
        <v>80</v>
      </c>
      <c r="E1962" s="18" t="s">
        <v>59</v>
      </c>
      <c r="F1962" s="21">
        <v>192</v>
      </c>
    </row>
    <row r="1963" spans="2:6" x14ac:dyDescent="0.25">
      <c r="B1963" s="18" t="s">
        <v>21</v>
      </c>
      <c r="C1963" s="19">
        <f>40759+(3*365)</f>
        <v>41854</v>
      </c>
      <c r="D1963" s="18" t="s">
        <v>58</v>
      </c>
      <c r="E1963" s="18" t="s">
        <v>61</v>
      </c>
      <c r="F1963" s="21">
        <v>426</v>
      </c>
    </row>
    <row r="1964" spans="2:6" x14ac:dyDescent="0.25">
      <c r="B1964" s="18" t="s">
        <v>18</v>
      </c>
      <c r="C1964" s="19">
        <f>40645+(3*365)</f>
        <v>41740</v>
      </c>
      <c r="D1964" s="18" t="s">
        <v>71</v>
      </c>
      <c r="E1964" s="18" t="s">
        <v>59</v>
      </c>
      <c r="F1964" s="21">
        <v>116</v>
      </c>
    </row>
    <row r="1965" spans="2:6" x14ac:dyDescent="0.25">
      <c r="B1965" s="18" t="s">
        <v>11</v>
      </c>
      <c r="C1965" s="19">
        <f>41166+(3*365)</f>
        <v>42261</v>
      </c>
      <c r="D1965" s="18" t="s">
        <v>60</v>
      </c>
      <c r="E1965" s="18" t="s">
        <v>69</v>
      </c>
      <c r="F1965" s="21">
        <v>3444</v>
      </c>
    </row>
    <row r="1966" spans="2:6" x14ac:dyDescent="0.25">
      <c r="B1966" s="18" t="s">
        <v>9</v>
      </c>
      <c r="C1966" s="19">
        <f>40745+(3*365)</f>
        <v>41840</v>
      </c>
      <c r="D1966" s="18" t="s">
        <v>62</v>
      </c>
      <c r="E1966" s="18" t="s">
        <v>59</v>
      </c>
      <c r="F1966" s="21">
        <v>864</v>
      </c>
    </row>
    <row r="1967" spans="2:6" x14ac:dyDescent="0.25">
      <c r="B1967" s="18" t="s">
        <v>21</v>
      </c>
      <c r="C1967" s="19">
        <f>40925+(3*365)</f>
        <v>42020</v>
      </c>
      <c r="D1967" s="18" t="s">
        <v>58</v>
      </c>
      <c r="E1967" s="18" t="s">
        <v>61</v>
      </c>
      <c r="F1967" s="21">
        <v>624</v>
      </c>
    </row>
    <row r="1968" spans="2:6" x14ac:dyDescent="0.25">
      <c r="B1968" s="18" t="s">
        <v>8</v>
      </c>
      <c r="C1968" s="19">
        <f>40988+(3*365)</f>
        <v>42083</v>
      </c>
      <c r="D1968" s="18" t="s">
        <v>77</v>
      </c>
      <c r="E1968" s="18" t="s">
        <v>66</v>
      </c>
      <c r="F1968" s="21">
        <v>1620</v>
      </c>
    </row>
    <row r="1969" spans="2:6" x14ac:dyDescent="0.25">
      <c r="B1969" s="18" t="s">
        <v>11</v>
      </c>
      <c r="C1969" s="19">
        <f>40186+(3*365)</f>
        <v>41281</v>
      </c>
      <c r="D1969" s="18" t="s">
        <v>74</v>
      </c>
      <c r="E1969" s="18" t="s">
        <v>63</v>
      </c>
      <c r="F1969" s="21">
        <v>1008</v>
      </c>
    </row>
    <row r="1970" spans="2:6" x14ac:dyDescent="0.25">
      <c r="B1970" s="18" t="s">
        <v>31</v>
      </c>
      <c r="C1970" s="19">
        <f>40689+(3*365)</f>
        <v>41784</v>
      </c>
      <c r="D1970" s="18" t="s">
        <v>70</v>
      </c>
      <c r="E1970" s="18" t="s">
        <v>64</v>
      </c>
      <c r="F1970" s="21">
        <v>8940</v>
      </c>
    </row>
    <row r="1971" spans="2:6" x14ac:dyDescent="0.25">
      <c r="B1971" s="18" t="s">
        <v>10</v>
      </c>
      <c r="C1971" s="19">
        <f>40259+(3*365)</f>
        <v>41354</v>
      </c>
      <c r="D1971" s="18" t="s">
        <v>65</v>
      </c>
      <c r="E1971" s="18" t="s">
        <v>61</v>
      </c>
      <c r="F1971" s="21">
        <v>171</v>
      </c>
    </row>
    <row r="1972" spans="2:6" x14ac:dyDescent="0.25">
      <c r="B1972" s="18" t="s">
        <v>21</v>
      </c>
      <c r="C1972" s="19">
        <f>40997+(3*365)</f>
        <v>42092</v>
      </c>
      <c r="D1972" s="18" t="s">
        <v>58</v>
      </c>
      <c r="E1972" s="18" t="s">
        <v>59</v>
      </c>
      <c r="F1972" s="21">
        <v>136</v>
      </c>
    </row>
    <row r="1973" spans="2:6" x14ac:dyDescent="0.25">
      <c r="B1973" s="18" t="s">
        <v>18</v>
      </c>
      <c r="C1973" s="19">
        <f>40624+(3*365)</f>
        <v>41719</v>
      </c>
      <c r="D1973" s="18" t="s">
        <v>71</v>
      </c>
      <c r="E1973" s="18" t="s">
        <v>75</v>
      </c>
      <c r="F1973" s="21">
        <v>80</v>
      </c>
    </row>
    <row r="1974" spans="2:6" x14ac:dyDescent="0.25">
      <c r="B1974" s="18" t="s">
        <v>21</v>
      </c>
      <c r="C1974" s="19">
        <f>40398+(3*365)</f>
        <v>41493</v>
      </c>
      <c r="D1974" s="18" t="s">
        <v>73</v>
      </c>
      <c r="E1974" s="18" t="s">
        <v>66</v>
      </c>
      <c r="F1974" s="21">
        <v>996</v>
      </c>
    </row>
    <row r="1975" spans="2:6" x14ac:dyDescent="0.25">
      <c r="B1975" s="18" t="s">
        <v>18</v>
      </c>
      <c r="C1975" s="19">
        <f>40218+(3*365)</f>
        <v>41313</v>
      </c>
      <c r="D1975" s="18" t="s">
        <v>68</v>
      </c>
      <c r="E1975" s="18" t="s">
        <v>61</v>
      </c>
      <c r="F1975" s="21">
        <v>696</v>
      </c>
    </row>
    <row r="1976" spans="2:6" x14ac:dyDescent="0.25">
      <c r="B1976" s="18" t="s">
        <v>8</v>
      </c>
      <c r="C1976" s="19">
        <f>40824+(3*365)</f>
        <v>41919</v>
      </c>
      <c r="D1976" s="18" t="s">
        <v>81</v>
      </c>
      <c r="E1976" s="18" t="s">
        <v>66</v>
      </c>
      <c r="F1976" s="21">
        <v>2176</v>
      </c>
    </row>
    <row r="1977" spans="2:6" x14ac:dyDescent="0.25">
      <c r="B1977" s="18" t="s">
        <v>10</v>
      </c>
      <c r="C1977" s="19">
        <f>40217+(3*365)</f>
        <v>41312</v>
      </c>
      <c r="D1977" s="18" t="s">
        <v>67</v>
      </c>
      <c r="E1977" s="18" t="s">
        <v>75</v>
      </c>
      <c r="F1977" s="21">
        <v>744</v>
      </c>
    </row>
    <row r="1978" spans="2:6" x14ac:dyDescent="0.25">
      <c r="B1978" s="18" t="s">
        <v>10</v>
      </c>
      <c r="C1978" s="19">
        <f>40134+(3*365)</f>
        <v>41229</v>
      </c>
      <c r="D1978" s="18" t="s">
        <v>65</v>
      </c>
      <c r="E1978" s="18" t="s">
        <v>66</v>
      </c>
      <c r="F1978" s="21">
        <v>1512</v>
      </c>
    </row>
    <row r="1979" spans="2:6" x14ac:dyDescent="0.25">
      <c r="B1979" s="18" t="s">
        <v>21</v>
      </c>
      <c r="C1979" s="19">
        <f>40870+(3*365)</f>
        <v>41965</v>
      </c>
      <c r="D1979" s="18" t="s">
        <v>58</v>
      </c>
      <c r="E1979" s="18" t="s">
        <v>61</v>
      </c>
      <c r="F1979" s="21">
        <v>588</v>
      </c>
    </row>
    <row r="1980" spans="2:6" x14ac:dyDescent="0.25">
      <c r="B1980" s="18" t="s">
        <v>11</v>
      </c>
      <c r="C1980" s="19">
        <f>40212+(3*365)</f>
        <v>41307</v>
      </c>
      <c r="D1980" s="18" t="s">
        <v>60</v>
      </c>
      <c r="E1980" s="18" t="s">
        <v>75</v>
      </c>
      <c r="F1980" s="21">
        <v>465</v>
      </c>
    </row>
    <row r="1981" spans="2:6" x14ac:dyDescent="0.25">
      <c r="B1981" s="18" t="s">
        <v>21</v>
      </c>
      <c r="C1981" s="19">
        <f>41189+(3*365)</f>
        <v>42284</v>
      </c>
      <c r="D1981" s="18" t="s">
        <v>58</v>
      </c>
      <c r="E1981" s="18" t="s">
        <v>59</v>
      </c>
      <c r="F1981" s="21">
        <v>1260</v>
      </c>
    </row>
    <row r="1982" spans="2:6" x14ac:dyDescent="0.25">
      <c r="B1982" s="18" t="s">
        <v>11</v>
      </c>
      <c r="C1982" s="19">
        <f>40721+(3*365)</f>
        <v>41816</v>
      </c>
      <c r="D1982" s="18" t="s">
        <v>74</v>
      </c>
      <c r="E1982" s="18" t="s">
        <v>66</v>
      </c>
      <c r="F1982" s="21">
        <v>258</v>
      </c>
    </row>
    <row r="1983" spans="2:6" x14ac:dyDescent="0.25">
      <c r="B1983" s="18" t="s">
        <v>21</v>
      </c>
      <c r="C1983" s="19">
        <f>39958+(3*365)</f>
        <v>41053</v>
      </c>
      <c r="D1983" s="18" t="s">
        <v>58</v>
      </c>
      <c r="E1983" s="18" t="s">
        <v>75</v>
      </c>
      <c r="F1983" s="21">
        <v>52</v>
      </c>
    </row>
    <row r="1984" spans="2:6" x14ac:dyDescent="0.25">
      <c r="B1984" s="18" t="s">
        <v>18</v>
      </c>
      <c r="C1984" s="19">
        <f>40011+(3*365)</f>
        <v>41106</v>
      </c>
      <c r="D1984" s="18" t="s">
        <v>71</v>
      </c>
      <c r="E1984" s="18" t="s">
        <v>59</v>
      </c>
      <c r="F1984" s="21">
        <v>370</v>
      </c>
    </row>
    <row r="1985" spans="2:6" x14ac:dyDescent="0.25">
      <c r="B1985" s="18" t="s">
        <v>11</v>
      </c>
      <c r="C1985" s="19">
        <f>41025+(3*365)</f>
        <v>42120</v>
      </c>
      <c r="D1985" s="18" t="s">
        <v>60</v>
      </c>
      <c r="E1985" s="18" t="s">
        <v>61</v>
      </c>
      <c r="F1985" s="21">
        <v>612</v>
      </c>
    </row>
    <row r="1986" spans="2:6" x14ac:dyDescent="0.25">
      <c r="B1986" s="18" t="s">
        <v>11</v>
      </c>
      <c r="C1986" s="19">
        <f>41166+(3*365)</f>
        <v>42261</v>
      </c>
      <c r="D1986" s="18" t="s">
        <v>60</v>
      </c>
      <c r="E1986" s="18" t="s">
        <v>64</v>
      </c>
      <c r="F1986" s="21">
        <v>8992</v>
      </c>
    </row>
    <row r="1987" spans="2:6" x14ac:dyDescent="0.25">
      <c r="B1987" s="18" t="s">
        <v>25</v>
      </c>
      <c r="C1987" s="19">
        <f>40661+(3*365)</f>
        <v>41756</v>
      </c>
      <c r="D1987" s="18" t="s">
        <v>79</v>
      </c>
      <c r="E1987" s="18" t="s">
        <v>63</v>
      </c>
      <c r="F1987" s="21">
        <v>1416</v>
      </c>
    </row>
    <row r="1988" spans="2:6" x14ac:dyDescent="0.25">
      <c r="B1988" s="18" t="s">
        <v>25</v>
      </c>
      <c r="C1988" s="19">
        <f>40119+(3*365)</f>
        <v>41214</v>
      </c>
      <c r="D1988" s="18" t="s">
        <v>79</v>
      </c>
      <c r="E1988" s="18" t="s">
        <v>72</v>
      </c>
      <c r="F1988" s="21">
        <v>4698</v>
      </c>
    </row>
    <row r="1989" spans="2:6" x14ac:dyDescent="0.25">
      <c r="B1989" s="18" t="s">
        <v>25</v>
      </c>
      <c r="C1989" s="19">
        <f>40319+(3*365)</f>
        <v>41414</v>
      </c>
      <c r="D1989" s="18" t="s">
        <v>79</v>
      </c>
      <c r="E1989" s="18" t="s">
        <v>63</v>
      </c>
      <c r="F1989" s="21">
        <v>234</v>
      </c>
    </row>
    <row r="1990" spans="2:6" x14ac:dyDescent="0.25">
      <c r="B1990" s="18" t="s">
        <v>18</v>
      </c>
      <c r="C1990" s="19">
        <f>41229+(3*365)</f>
        <v>42324</v>
      </c>
      <c r="D1990" s="18" t="s">
        <v>71</v>
      </c>
      <c r="E1990" s="18" t="s">
        <v>63</v>
      </c>
      <c r="F1990" s="21">
        <v>987</v>
      </c>
    </row>
    <row r="1991" spans="2:6" x14ac:dyDescent="0.25">
      <c r="B1991" s="18" t="s">
        <v>10</v>
      </c>
      <c r="C1991" s="19">
        <f>40002+(3*365)</f>
        <v>41097</v>
      </c>
      <c r="D1991" s="18" t="s">
        <v>65</v>
      </c>
      <c r="E1991" s="18" t="s">
        <v>66</v>
      </c>
      <c r="F1991" s="21">
        <v>440</v>
      </c>
    </row>
    <row r="1992" spans="2:6" x14ac:dyDescent="0.25">
      <c r="B1992" s="18" t="s">
        <v>10</v>
      </c>
      <c r="C1992" s="19">
        <f>40230+(3*365)</f>
        <v>41325</v>
      </c>
      <c r="D1992" s="18" t="s">
        <v>67</v>
      </c>
      <c r="E1992" s="18" t="s">
        <v>69</v>
      </c>
      <c r="F1992" s="21">
        <v>4617</v>
      </c>
    </row>
    <row r="1993" spans="2:6" x14ac:dyDescent="0.25">
      <c r="B1993" s="18" t="s">
        <v>10</v>
      </c>
      <c r="C1993" s="19">
        <f>40665+(3*365)</f>
        <v>41760</v>
      </c>
      <c r="D1993" s="18" t="s">
        <v>65</v>
      </c>
      <c r="E1993" s="18" t="s">
        <v>61</v>
      </c>
      <c r="F1993" s="21">
        <v>448</v>
      </c>
    </row>
    <row r="1994" spans="2:6" x14ac:dyDescent="0.25">
      <c r="B1994" s="18" t="s">
        <v>8</v>
      </c>
      <c r="C1994" s="19">
        <f>41002+(3*365)</f>
        <v>42097</v>
      </c>
      <c r="D1994" s="18" t="s">
        <v>77</v>
      </c>
      <c r="E1994" s="18" t="s">
        <v>66</v>
      </c>
      <c r="F1994" s="21">
        <v>1312</v>
      </c>
    </row>
    <row r="1995" spans="2:6" x14ac:dyDescent="0.25">
      <c r="B1995" s="18" t="s">
        <v>25</v>
      </c>
      <c r="C1995" s="19">
        <f>41018+(3*365)</f>
        <v>42113</v>
      </c>
      <c r="D1995" s="18" t="s">
        <v>78</v>
      </c>
      <c r="E1995" s="18" t="s">
        <v>66</v>
      </c>
      <c r="F1995" s="21">
        <v>1106</v>
      </c>
    </row>
    <row r="1996" spans="2:6" x14ac:dyDescent="0.25">
      <c r="B1996" s="18" t="s">
        <v>10</v>
      </c>
      <c r="C1996" s="19">
        <f>40939+(3*365)</f>
        <v>42034</v>
      </c>
      <c r="D1996" s="18" t="s">
        <v>67</v>
      </c>
      <c r="E1996" s="18" t="s">
        <v>61</v>
      </c>
      <c r="F1996" s="21">
        <v>684</v>
      </c>
    </row>
    <row r="1997" spans="2:6" x14ac:dyDescent="0.25">
      <c r="B1997" s="18" t="s">
        <v>25</v>
      </c>
      <c r="C1997" s="19">
        <f>41151+(3*365)</f>
        <v>42246</v>
      </c>
      <c r="D1997" s="18" t="s">
        <v>78</v>
      </c>
      <c r="E1997" s="18" t="s">
        <v>64</v>
      </c>
      <c r="F1997" s="21">
        <v>9984</v>
      </c>
    </row>
    <row r="1998" spans="2:6" x14ac:dyDescent="0.25">
      <c r="B1998" s="18" t="s">
        <v>11</v>
      </c>
      <c r="C1998" s="19">
        <f>40952+(3*365)</f>
        <v>42047</v>
      </c>
      <c r="D1998" s="18" t="s">
        <v>60</v>
      </c>
      <c r="E1998" s="18" t="s">
        <v>63</v>
      </c>
      <c r="F1998" s="21">
        <v>520</v>
      </c>
    </row>
    <row r="1999" spans="2:6" x14ac:dyDescent="0.25">
      <c r="B1999" s="18" t="s">
        <v>10</v>
      </c>
      <c r="C1999" s="19">
        <f>39907+(3*365)</f>
        <v>41002</v>
      </c>
      <c r="D1999" s="18" t="s">
        <v>65</v>
      </c>
      <c r="E1999" s="18" t="s">
        <v>66</v>
      </c>
      <c r="F1999" s="21">
        <v>720</v>
      </c>
    </row>
    <row r="2000" spans="2:6" x14ac:dyDescent="0.25">
      <c r="B2000" s="18" t="s">
        <v>10</v>
      </c>
      <c r="C2000" s="19">
        <f>39847+(3*365)</f>
        <v>40942</v>
      </c>
      <c r="D2000" s="18" t="s">
        <v>67</v>
      </c>
      <c r="E2000" s="18" t="s">
        <v>59</v>
      </c>
      <c r="F2000" s="21">
        <v>96</v>
      </c>
    </row>
    <row r="2001" spans="2:6" x14ac:dyDescent="0.25">
      <c r="B2001" s="18" t="s">
        <v>11</v>
      </c>
      <c r="C2001" s="19">
        <f>40885+(3*365)</f>
        <v>41980</v>
      </c>
      <c r="D2001" s="18" t="s">
        <v>60</v>
      </c>
      <c r="E2001" s="18" t="s">
        <v>66</v>
      </c>
      <c r="F2001" s="21">
        <v>1806</v>
      </c>
    </row>
    <row r="2002" spans="2:6" x14ac:dyDescent="0.25">
      <c r="B2002" s="18" t="s">
        <v>11</v>
      </c>
      <c r="C2002" s="19">
        <f>40199+(3*365)</f>
        <v>41294</v>
      </c>
      <c r="D2002" s="18" t="s">
        <v>74</v>
      </c>
      <c r="E2002" s="18" t="s">
        <v>61</v>
      </c>
      <c r="F2002" s="21">
        <v>912</v>
      </c>
    </row>
    <row r="2003" spans="2:6" x14ac:dyDescent="0.25">
      <c r="B2003" s="18" t="s">
        <v>18</v>
      </c>
      <c r="C2003" s="19">
        <f>40395+(3*365)</f>
        <v>41490</v>
      </c>
      <c r="D2003" s="18" t="s">
        <v>71</v>
      </c>
      <c r="E2003" s="18" t="s">
        <v>66</v>
      </c>
      <c r="F2003" s="21">
        <v>360</v>
      </c>
    </row>
    <row r="2004" spans="2:6" x14ac:dyDescent="0.25">
      <c r="B2004" s="18" t="s">
        <v>21</v>
      </c>
      <c r="C2004" s="19">
        <f>41176+(3*365)</f>
        <v>42271</v>
      </c>
      <c r="D2004" s="18" t="s">
        <v>58</v>
      </c>
      <c r="E2004" s="18" t="s">
        <v>63</v>
      </c>
      <c r="F2004" s="21">
        <v>848</v>
      </c>
    </row>
    <row r="2005" spans="2:6" x14ac:dyDescent="0.25">
      <c r="B2005" s="18" t="s">
        <v>10</v>
      </c>
      <c r="C2005" s="19">
        <f>39875+(3*365)</f>
        <v>40970</v>
      </c>
      <c r="D2005" s="18" t="s">
        <v>67</v>
      </c>
      <c r="E2005" s="18" t="s">
        <v>72</v>
      </c>
      <c r="F2005" s="21">
        <v>948</v>
      </c>
    </row>
    <row r="2006" spans="2:6" x14ac:dyDescent="0.25">
      <c r="B2006" s="18" t="s">
        <v>21</v>
      </c>
      <c r="C2006" s="19">
        <f>40012+(3*365)</f>
        <v>41107</v>
      </c>
      <c r="D2006" s="18" t="s">
        <v>58</v>
      </c>
      <c r="E2006" s="18" t="s">
        <v>64</v>
      </c>
      <c r="F2006" s="21">
        <v>5544</v>
      </c>
    </row>
    <row r="2007" spans="2:6" x14ac:dyDescent="0.25">
      <c r="B2007" s="18" t="s">
        <v>10</v>
      </c>
      <c r="C2007" s="19">
        <f>40041+(3*365)</f>
        <v>41136</v>
      </c>
      <c r="D2007" s="18" t="s">
        <v>65</v>
      </c>
      <c r="E2007" s="18" t="s">
        <v>75</v>
      </c>
      <c r="F2007" s="21">
        <v>160</v>
      </c>
    </row>
    <row r="2008" spans="2:6" x14ac:dyDescent="0.25">
      <c r="B2008" s="18" t="s">
        <v>31</v>
      </c>
      <c r="C2008" s="19">
        <f>39883+(3*365)</f>
        <v>40978</v>
      </c>
      <c r="D2008" s="18" t="s">
        <v>76</v>
      </c>
      <c r="E2008" s="18" t="s">
        <v>75</v>
      </c>
      <c r="F2008" s="21">
        <v>459</v>
      </c>
    </row>
    <row r="2009" spans="2:6" x14ac:dyDescent="0.25">
      <c r="B2009" s="18" t="s">
        <v>18</v>
      </c>
      <c r="C2009" s="19">
        <f>41101+(3*365)</f>
        <v>42196</v>
      </c>
      <c r="D2009" s="18" t="s">
        <v>71</v>
      </c>
      <c r="E2009" s="18" t="s">
        <v>64</v>
      </c>
      <c r="F2009" s="21">
        <v>4671</v>
      </c>
    </row>
    <row r="2010" spans="2:6" x14ac:dyDescent="0.25">
      <c r="B2010" s="18" t="s">
        <v>25</v>
      </c>
      <c r="C2010" s="19">
        <f>40901+(3*365)</f>
        <v>41996</v>
      </c>
      <c r="D2010" s="18" t="s">
        <v>79</v>
      </c>
      <c r="E2010" s="18" t="s">
        <v>75</v>
      </c>
      <c r="F2010" s="21">
        <v>176</v>
      </c>
    </row>
    <row r="2011" spans="2:6" x14ac:dyDescent="0.25">
      <c r="B2011" s="18" t="s">
        <v>25</v>
      </c>
      <c r="C2011" s="19">
        <f>39868+(3*365)</f>
        <v>40963</v>
      </c>
      <c r="D2011" s="18" t="s">
        <v>79</v>
      </c>
      <c r="E2011" s="18" t="s">
        <v>59</v>
      </c>
      <c r="F2011" s="21">
        <v>352</v>
      </c>
    </row>
    <row r="2012" spans="2:6" x14ac:dyDescent="0.25">
      <c r="B2012" s="18" t="s">
        <v>31</v>
      </c>
      <c r="C2012" s="19">
        <f>40000+(3*365)</f>
        <v>41095</v>
      </c>
      <c r="D2012" s="18" t="s">
        <v>76</v>
      </c>
      <c r="E2012" s="18" t="s">
        <v>63</v>
      </c>
      <c r="F2012" s="21">
        <v>840</v>
      </c>
    </row>
    <row r="2013" spans="2:6" x14ac:dyDescent="0.25">
      <c r="B2013" s="18" t="s">
        <v>11</v>
      </c>
      <c r="C2013" s="19">
        <f>40776+(3*365)</f>
        <v>41871</v>
      </c>
      <c r="D2013" s="18" t="s">
        <v>60</v>
      </c>
      <c r="E2013" s="18" t="s">
        <v>63</v>
      </c>
      <c r="F2013" s="21">
        <v>396</v>
      </c>
    </row>
    <row r="2014" spans="2:6" x14ac:dyDescent="0.25">
      <c r="B2014" s="18" t="s">
        <v>18</v>
      </c>
      <c r="C2014" s="19">
        <f>40148+(3*365)</f>
        <v>41243</v>
      </c>
      <c r="D2014" s="18" t="s">
        <v>68</v>
      </c>
      <c r="E2014" s="18" t="s">
        <v>75</v>
      </c>
      <c r="F2014" s="21">
        <v>152</v>
      </c>
    </row>
    <row r="2015" spans="2:6" x14ac:dyDescent="0.25">
      <c r="B2015" s="18" t="s">
        <v>31</v>
      </c>
      <c r="C2015" s="19">
        <f>39841+(3*365)</f>
        <v>40936</v>
      </c>
      <c r="D2015" s="18" t="s">
        <v>70</v>
      </c>
      <c r="E2015" s="18" t="s">
        <v>61</v>
      </c>
      <c r="F2015" s="21">
        <v>702</v>
      </c>
    </row>
    <row r="2016" spans="2:6" x14ac:dyDescent="0.25">
      <c r="B2016" s="18" t="s">
        <v>8</v>
      </c>
      <c r="C2016" s="19">
        <f>40800+(3*365)</f>
        <v>41895</v>
      </c>
      <c r="D2016" s="18" t="s">
        <v>81</v>
      </c>
      <c r="E2016" s="18" t="s">
        <v>64</v>
      </c>
      <c r="F2016" s="21">
        <v>5984</v>
      </c>
    </row>
    <row r="2017" spans="2:6" x14ac:dyDescent="0.25">
      <c r="B2017" s="18" t="s">
        <v>18</v>
      </c>
      <c r="C2017" s="19">
        <f>40739+(3*365)</f>
        <v>41834</v>
      </c>
      <c r="D2017" s="18" t="s">
        <v>68</v>
      </c>
      <c r="E2017" s="18" t="s">
        <v>64</v>
      </c>
      <c r="F2017" s="21">
        <v>8240</v>
      </c>
    </row>
    <row r="2018" spans="2:6" x14ac:dyDescent="0.25">
      <c r="B2018" s="18" t="s">
        <v>8</v>
      </c>
      <c r="C2018" s="19">
        <f>40620+(3*365)</f>
        <v>41715</v>
      </c>
      <c r="D2018" s="18" t="s">
        <v>77</v>
      </c>
      <c r="E2018" s="18" t="s">
        <v>61</v>
      </c>
      <c r="F2018" s="21">
        <v>384</v>
      </c>
    </row>
    <row r="2019" spans="2:6" x14ac:dyDescent="0.25">
      <c r="B2019" s="18" t="s">
        <v>25</v>
      </c>
      <c r="C2019" s="19">
        <f>40357+(3*365)</f>
        <v>41452</v>
      </c>
      <c r="D2019" s="18" t="s">
        <v>79</v>
      </c>
      <c r="E2019" s="18" t="s">
        <v>69</v>
      </c>
      <c r="F2019" s="21">
        <v>990</v>
      </c>
    </row>
    <row r="2020" spans="2:6" x14ac:dyDescent="0.25">
      <c r="B2020" s="18" t="s">
        <v>31</v>
      </c>
      <c r="C2020" s="19">
        <f>40000+(3*365)</f>
        <v>41095</v>
      </c>
      <c r="D2020" s="18" t="s">
        <v>70</v>
      </c>
      <c r="E2020" s="18" t="s">
        <v>64</v>
      </c>
      <c r="F2020" s="21">
        <v>6432</v>
      </c>
    </row>
    <row r="2021" spans="2:6" x14ac:dyDescent="0.25">
      <c r="B2021" s="18" t="s">
        <v>10</v>
      </c>
      <c r="C2021" s="19">
        <f>40408+(3*365)</f>
        <v>41503</v>
      </c>
      <c r="D2021" s="18" t="s">
        <v>67</v>
      </c>
      <c r="E2021" s="18" t="s">
        <v>64</v>
      </c>
      <c r="F2021" s="21">
        <v>5265</v>
      </c>
    </row>
    <row r="2022" spans="2:6" x14ac:dyDescent="0.25">
      <c r="B2022" s="18" t="s">
        <v>10</v>
      </c>
      <c r="C2022" s="19">
        <f>40996+(3*365)</f>
        <v>42091</v>
      </c>
      <c r="D2022" s="18" t="s">
        <v>65</v>
      </c>
      <c r="E2022" s="18" t="s">
        <v>72</v>
      </c>
      <c r="F2022" s="21">
        <v>756</v>
      </c>
    </row>
    <row r="2023" spans="2:6" x14ac:dyDescent="0.25">
      <c r="B2023" s="18" t="s">
        <v>9</v>
      </c>
      <c r="C2023" s="19">
        <f>40917+(3*365)</f>
        <v>42012</v>
      </c>
      <c r="D2023" s="18" t="s">
        <v>62</v>
      </c>
      <c r="E2023" s="18" t="s">
        <v>75</v>
      </c>
      <c r="F2023" s="21">
        <v>266</v>
      </c>
    </row>
    <row r="2024" spans="2:6" x14ac:dyDescent="0.25">
      <c r="B2024" s="18" t="s">
        <v>21</v>
      </c>
      <c r="C2024" s="19">
        <f>40950+(3*365)</f>
        <v>42045</v>
      </c>
      <c r="D2024" s="18" t="s">
        <v>58</v>
      </c>
      <c r="E2024" s="18" t="s">
        <v>75</v>
      </c>
      <c r="F2024" s="21">
        <v>780</v>
      </c>
    </row>
    <row r="2025" spans="2:6" x14ac:dyDescent="0.25">
      <c r="B2025" s="18" t="s">
        <v>8</v>
      </c>
      <c r="C2025" s="19">
        <f>40060+(3*365)</f>
        <v>41155</v>
      </c>
      <c r="D2025" s="18" t="s">
        <v>77</v>
      </c>
      <c r="E2025" s="18" t="s">
        <v>69</v>
      </c>
      <c r="F2025" s="21">
        <v>378</v>
      </c>
    </row>
    <row r="2026" spans="2:6" x14ac:dyDescent="0.25">
      <c r="B2026" s="18" t="s">
        <v>9</v>
      </c>
      <c r="C2026" s="19">
        <f>40545+(3*365)</f>
        <v>41640</v>
      </c>
      <c r="D2026" s="18" t="s">
        <v>62</v>
      </c>
      <c r="E2026" s="18" t="s">
        <v>63</v>
      </c>
      <c r="F2026" s="21">
        <v>1377</v>
      </c>
    </row>
    <row r="2027" spans="2:6" x14ac:dyDescent="0.25">
      <c r="B2027" s="18" t="s">
        <v>9</v>
      </c>
      <c r="C2027" s="19">
        <f>41255+(3*365)</f>
        <v>42350</v>
      </c>
      <c r="D2027" s="18" t="s">
        <v>80</v>
      </c>
      <c r="E2027" s="18" t="s">
        <v>59</v>
      </c>
      <c r="F2027" s="21">
        <v>12</v>
      </c>
    </row>
    <row r="2028" spans="2:6" x14ac:dyDescent="0.25">
      <c r="B2028" s="18" t="s">
        <v>9</v>
      </c>
      <c r="C2028" s="19">
        <f>40875+(3*365)</f>
        <v>41970</v>
      </c>
      <c r="D2028" s="18" t="s">
        <v>62</v>
      </c>
      <c r="E2028" s="18" t="s">
        <v>64</v>
      </c>
      <c r="F2028" s="21">
        <v>9198</v>
      </c>
    </row>
    <row r="2029" spans="2:6" x14ac:dyDescent="0.25">
      <c r="B2029" s="18" t="s">
        <v>31</v>
      </c>
      <c r="C2029" s="19">
        <f>40965+(3*365)</f>
        <v>42060</v>
      </c>
      <c r="D2029" s="18" t="s">
        <v>70</v>
      </c>
      <c r="E2029" s="18" t="s">
        <v>61</v>
      </c>
      <c r="F2029" s="21">
        <v>1044</v>
      </c>
    </row>
    <row r="2030" spans="2:6" x14ac:dyDescent="0.25">
      <c r="B2030" s="18" t="s">
        <v>25</v>
      </c>
      <c r="C2030" s="19">
        <f>39836+(3*365)</f>
        <v>40931</v>
      </c>
      <c r="D2030" s="18" t="s">
        <v>78</v>
      </c>
      <c r="E2030" s="18" t="s">
        <v>63</v>
      </c>
      <c r="F2030" s="21">
        <v>504</v>
      </c>
    </row>
    <row r="2031" spans="2:6" x14ac:dyDescent="0.25">
      <c r="B2031" s="18" t="s">
        <v>21</v>
      </c>
      <c r="C2031" s="19">
        <f>40874+(3*365)</f>
        <v>41969</v>
      </c>
      <c r="D2031" s="18" t="s">
        <v>73</v>
      </c>
      <c r="E2031" s="18" t="s">
        <v>63</v>
      </c>
      <c r="F2031" s="21">
        <v>882</v>
      </c>
    </row>
    <row r="2032" spans="2:6" x14ac:dyDescent="0.25">
      <c r="B2032" s="18" t="s">
        <v>11</v>
      </c>
      <c r="C2032" s="19">
        <f>39897+(3*365)</f>
        <v>40992</v>
      </c>
      <c r="D2032" s="18" t="s">
        <v>74</v>
      </c>
      <c r="E2032" s="18" t="s">
        <v>61</v>
      </c>
      <c r="F2032" s="21">
        <v>915</v>
      </c>
    </row>
    <row r="2033" spans="2:6" x14ac:dyDescent="0.25">
      <c r="B2033" s="18" t="s">
        <v>18</v>
      </c>
      <c r="C2033" s="19">
        <f>40394+(3*365)</f>
        <v>41489</v>
      </c>
      <c r="D2033" s="18" t="s">
        <v>71</v>
      </c>
      <c r="E2033" s="18" t="s">
        <v>75</v>
      </c>
      <c r="F2033" s="21">
        <v>792</v>
      </c>
    </row>
    <row r="2034" spans="2:6" x14ac:dyDescent="0.25">
      <c r="B2034" s="18" t="s">
        <v>11</v>
      </c>
      <c r="C2034" s="19">
        <f>40899+(3*365)</f>
        <v>41994</v>
      </c>
      <c r="D2034" s="18" t="s">
        <v>60</v>
      </c>
      <c r="E2034" s="18" t="s">
        <v>75</v>
      </c>
      <c r="F2034" s="21">
        <v>408</v>
      </c>
    </row>
    <row r="2035" spans="2:6" x14ac:dyDescent="0.25">
      <c r="B2035" s="18" t="s">
        <v>21</v>
      </c>
      <c r="C2035" s="19">
        <f>40664+(3*365)</f>
        <v>41759</v>
      </c>
      <c r="D2035" s="18" t="s">
        <v>73</v>
      </c>
      <c r="E2035" s="18" t="s">
        <v>69</v>
      </c>
      <c r="F2035" s="21">
        <v>1554</v>
      </c>
    </row>
    <row r="2036" spans="2:6" x14ac:dyDescent="0.25">
      <c r="B2036" s="18" t="s">
        <v>18</v>
      </c>
      <c r="C2036" s="19">
        <f>40525+(3*365)</f>
        <v>41620</v>
      </c>
      <c r="D2036" s="18" t="s">
        <v>71</v>
      </c>
      <c r="E2036" s="18" t="s">
        <v>66</v>
      </c>
      <c r="F2036" s="21">
        <v>432</v>
      </c>
    </row>
    <row r="2037" spans="2:6" x14ac:dyDescent="0.25">
      <c r="B2037" s="18" t="s">
        <v>10</v>
      </c>
      <c r="C2037" s="19">
        <f>40813+(3*365)</f>
        <v>41908</v>
      </c>
      <c r="D2037" s="18" t="s">
        <v>65</v>
      </c>
      <c r="E2037" s="18" t="s">
        <v>69</v>
      </c>
      <c r="F2037" s="21">
        <v>516</v>
      </c>
    </row>
    <row r="2038" spans="2:6" x14ac:dyDescent="0.25">
      <c r="B2038" s="18" t="s">
        <v>10</v>
      </c>
      <c r="C2038" s="19">
        <f>41047+(3*365)</f>
        <v>42142</v>
      </c>
      <c r="D2038" s="18" t="s">
        <v>67</v>
      </c>
      <c r="E2038" s="18" t="s">
        <v>63</v>
      </c>
      <c r="F2038" s="21">
        <v>792</v>
      </c>
    </row>
    <row r="2039" spans="2:6" x14ac:dyDescent="0.25">
      <c r="B2039" s="18" t="s">
        <v>18</v>
      </c>
      <c r="C2039" s="19">
        <f>40099+(3*365)</f>
        <v>41194</v>
      </c>
      <c r="D2039" s="18" t="s">
        <v>71</v>
      </c>
      <c r="E2039" s="18" t="s">
        <v>59</v>
      </c>
      <c r="F2039" s="21">
        <v>684</v>
      </c>
    </row>
    <row r="2040" spans="2:6" x14ac:dyDescent="0.25">
      <c r="B2040" s="18" t="s">
        <v>10</v>
      </c>
      <c r="C2040" s="19">
        <f>40510+(3*365)</f>
        <v>41605</v>
      </c>
      <c r="D2040" s="18" t="s">
        <v>65</v>
      </c>
      <c r="E2040" s="18" t="s">
        <v>59</v>
      </c>
      <c r="F2040" s="21">
        <v>138</v>
      </c>
    </row>
    <row r="2041" spans="2:6" x14ac:dyDescent="0.25">
      <c r="B2041" s="18" t="s">
        <v>10</v>
      </c>
      <c r="C2041" s="19">
        <f>39878+(3*365)</f>
        <v>40973</v>
      </c>
      <c r="D2041" s="18" t="s">
        <v>67</v>
      </c>
      <c r="E2041" s="18" t="s">
        <v>61</v>
      </c>
      <c r="F2041" s="21">
        <v>2160</v>
      </c>
    </row>
    <row r="2042" spans="2:6" x14ac:dyDescent="0.25">
      <c r="B2042" s="18" t="s">
        <v>9</v>
      </c>
      <c r="C2042" s="19">
        <f>40149+(3*365)</f>
        <v>41244</v>
      </c>
      <c r="D2042" s="18" t="s">
        <v>62</v>
      </c>
      <c r="E2042" s="18" t="s">
        <v>69</v>
      </c>
      <c r="F2042" s="21">
        <v>600</v>
      </c>
    </row>
    <row r="2043" spans="2:6" x14ac:dyDescent="0.25">
      <c r="B2043" s="18" t="s">
        <v>21</v>
      </c>
      <c r="C2043" s="19">
        <f>40929+(3*365)</f>
        <v>42024</v>
      </c>
      <c r="D2043" s="18" t="s">
        <v>73</v>
      </c>
      <c r="E2043" s="18" t="s">
        <v>69</v>
      </c>
      <c r="F2043" s="21">
        <v>4224</v>
      </c>
    </row>
    <row r="2044" spans="2:6" x14ac:dyDescent="0.25">
      <c r="B2044" s="18" t="s">
        <v>10</v>
      </c>
      <c r="C2044" s="19">
        <f>41053+(3*365)</f>
        <v>42148</v>
      </c>
      <c r="D2044" s="18" t="s">
        <v>67</v>
      </c>
      <c r="E2044" s="18" t="s">
        <v>66</v>
      </c>
      <c r="F2044" s="21">
        <v>639</v>
      </c>
    </row>
    <row r="2045" spans="2:6" x14ac:dyDescent="0.25">
      <c r="B2045" s="18" t="s">
        <v>10</v>
      </c>
      <c r="C2045" s="19">
        <f>39973+(3*365)</f>
        <v>41068</v>
      </c>
      <c r="D2045" s="18" t="s">
        <v>65</v>
      </c>
      <c r="E2045" s="18" t="s">
        <v>66</v>
      </c>
      <c r="F2045" s="21">
        <v>592</v>
      </c>
    </row>
    <row r="2046" spans="2:6" x14ac:dyDescent="0.25">
      <c r="B2046" s="18" t="s">
        <v>11</v>
      </c>
      <c r="C2046" s="19">
        <f>39889+(3*365)</f>
        <v>40984</v>
      </c>
      <c r="D2046" s="18" t="s">
        <v>60</v>
      </c>
      <c r="E2046" s="18" t="s">
        <v>75</v>
      </c>
      <c r="F2046" s="21">
        <v>87</v>
      </c>
    </row>
    <row r="2047" spans="2:6" x14ac:dyDescent="0.25">
      <c r="B2047" s="18" t="s">
        <v>8</v>
      </c>
      <c r="C2047" s="19">
        <f>41088+(3*365)</f>
        <v>42183</v>
      </c>
      <c r="D2047" s="18" t="s">
        <v>81</v>
      </c>
      <c r="E2047" s="18" t="s">
        <v>66</v>
      </c>
      <c r="F2047" s="21">
        <v>1780</v>
      </c>
    </row>
    <row r="2048" spans="2:6" x14ac:dyDescent="0.25">
      <c r="B2048" s="18" t="s">
        <v>21</v>
      </c>
      <c r="C2048" s="19">
        <f>40234+(3*365)</f>
        <v>41329</v>
      </c>
      <c r="D2048" s="18" t="s">
        <v>73</v>
      </c>
      <c r="E2048" s="18" t="s">
        <v>64</v>
      </c>
      <c r="F2048" s="21">
        <v>3252</v>
      </c>
    </row>
    <row r="2049" spans="2:6" x14ac:dyDescent="0.25">
      <c r="B2049" s="18" t="s">
        <v>9</v>
      </c>
      <c r="C2049" s="19">
        <f>40716+(3*365)</f>
        <v>41811</v>
      </c>
      <c r="D2049" s="18" t="s">
        <v>62</v>
      </c>
      <c r="E2049" s="18" t="s">
        <v>72</v>
      </c>
      <c r="F2049" s="21">
        <v>4050</v>
      </c>
    </row>
    <row r="2050" spans="2:6" x14ac:dyDescent="0.25">
      <c r="B2050" s="18" t="s">
        <v>18</v>
      </c>
      <c r="C2050" s="19">
        <f>40718+(3*365)</f>
        <v>41813</v>
      </c>
      <c r="D2050" s="18" t="s">
        <v>71</v>
      </c>
      <c r="E2050" s="18" t="s">
        <v>61</v>
      </c>
      <c r="F2050" s="21">
        <v>104</v>
      </c>
    </row>
    <row r="2051" spans="2:6" x14ac:dyDescent="0.25">
      <c r="B2051" s="18" t="s">
        <v>11</v>
      </c>
      <c r="C2051" s="19">
        <f>40670+(3*365)</f>
        <v>41765</v>
      </c>
      <c r="D2051" s="18" t="s">
        <v>60</v>
      </c>
      <c r="E2051" s="18" t="s">
        <v>64</v>
      </c>
      <c r="F2051" s="21">
        <v>3438</v>
      </c>
    </row>
    <row r="2052" spans="2:6" x14ac:dyDescent="0.25">
      <c r="B2052" s="18" t="s">
        <v>11</v>
      </c>
      <c r="C2052" s="19">
        <f>40004+(3*365)</f>
        <v>41099</v>
      </c>
      <c r="D2052" s="18" t="s">
        <v>60</v>
      </c>
      <c r="E2052" s="18" t="s">
        <v>69</v>
      </c>
      <c r="F2052" s="21">
        <v>2376</v>
      </c>
    </row>
    <row r="2053" spans="2:6" x14ac:dyDescent="0.25">
      <c r="B2053" s="18" t="s">
        <v>18</v>
      </c>
      <c r="C2053" s="19">
        <f>40281+(3*365)</f>
        <v>41376</v>
      </c>
      <c r="D2053" s="18" t="s">
        <v>68</v>
      </c>
      <c r="E2053" s="18" t="s">
        <v>69</v>
      </c>
      <c r="F2053" s="21">
        <v>513</v>
      </c>
    </row>
    <row r="2054" spans="2:6" x14ac:dyDescent="0.25">
      <c r="B2054" s="18" t="s">
        <v>25</v>
      </c>
      <c r="C2054" s="19">
        <f>40148+(3*365)</f>
        <v>41243</v>
      </c>
      <c r="D2054" s="18" t="s">
        <v>78</v>
      </c>
      <c r="E2054" s="18" t="s">
        <v>75</v>
      </c>
      <c r="F2054" s="21">
        <v>168</v>
      </c>
    </row>
    <row r="2055" spans="2:6" x14ac:dyDescent="0.25">
      <c r="B2055" s="18" t="s">
        <v>21</v>
      </c>
      <c r="C2055" s="19">
        <f>40221+(3*365)</f>
        <v>41316</v>
      </c>
      <c r="D2055" s="18" t="s">
        <v>58</v>
      </c>
      <c r="E2055" s="18" t="s">
        <v>69</v>
      </c>
      <c r="F2055" s="21">
        <v>1416</v>
      </c>
    </row>
    <row r="2056" spans="2:6" x14ac:dyDescent="0.25">
      <c r="B2056" s="18" t="s">
        <v>8</v>
      </c>
      <c r="C2056" s="19">
        <f>40902+(3*365)</f>
        <v>41997</v>
      </c>
      <c r="D2056" s="18" t="s">
        <v>77</v>
      </c>
      <c r="E2056" s="18" t="s">
        <v>69</v>
      </c>
      <c r="F2056" s="21">
        <v>316</v>
      </c>
    </row>
    <row r="2057" spans="2:6" x14ac:dyDescent="0.25">
      <c r="B2057" s="18" t="s">
        <v>11</v>
      </c>
      <c r="C2057" s="19">
        <f>40709+(3*365)</f>
        <v>41804</v>
      </c>
      <c r="D2057" s="18" t="s">
        <v>74</v>
      </c>
      <c r="E2057" s="18" t="s">
        <v>66</v>
      </c>
      <c r="F2057" s="21">
        <v>132</v>
      </c>
    </row>
    <row r="2058" spans="2:6" x14ac:dyDescent="0.25">
      <c r="B2058" s="18" t="s">
        <v>21</v>
      </c>
      <c r="C2058" s="19">
        <f>40976+(3*365)</f>
        <v>42071</v>
      </c>
      <c r="D2058" s="18" t="s">
        <v>73</v>
      </c>
      <c r="E2058" s="18" t="s">
        <v>75</v>
      </c>
      <c r="F2058" s="21">
        <v>704</v>
      </c>
    </row>
    <row r="2059" spans="2:6" x14ac:dyDescent="0.25">
      <c r="B2059" s="18" t="s">
        <v>10</v>
      </c>
      <c r="C2059" s="19">
        <f>40566+(3*365)</f>
        <v>41661</v>
      </c>
      <c r="D2059" s="18" t="s">
        <v>65</v>
      </c>
      <c r="E2059" s="18" t="s">
        <v>69</v>
      </c>
      <c r="F2059" s="21">
        <v>224</v>
      </c>
    </row>
    <row r="2060" spans="2:6" x14ac:dyDescent="0.25">
      <c r="B2060" s="18" t="s">
        <v>10</v>
      </c>
      <c r="C2060" s="19">
        <f>40646+(3*365)</f>
        <v>41741</v>
      </c>
      <c r="D2060" s="18" t="s">
        <v>67</v>
      </c>
      <c r="E2060" s="18" t="s">
        <v>59</v>
      </c>
      <c r="F2060" s="21">
        <v>34</v>
      </c>
    </row>
    <row r="2061" spans="2:6" x14ac:dyDescent="0.25">
      <c r="B2061" s="18" t="s">
        <v>8</v>
      </c>
      <c r="C2061" s="19">
        <f>41245+(3*365)</f>
        <v>42340</v>
      </c>
      <c r="D2061" s="18" t="s">
        <v>81</v>
      </c>
      <c r="E2061" s="18" t="s">
        <v>66</v>
      </c>
      <c r="F2061" s="21">
        <v>140</v>
      </c>
    </row>
    <row r="2062" spans="2:6" x14ac:dyDescent="0.25">
      <c r="B2062" s="18" t="s">
        <v>9</v>
      </c>
      <c r="C2062" s="19">
        <f>40699+(3*365)</f>
        <v>41794</v>
      </c>
      <c r="D2062" s="18" t="s">
        <v>80</v>
      </c>
      <c r="E2062" s="18" t="s">
        <v>64</v>
      </c>
      <c r="F2062" s="21">
        <v>6426</v>
      </c>
    </row>
    <row r="2063" spans="2:6" x14ac:dyDescent="0.25">
      <c r="B2063" s="18" t="s">
        <v>11</v>
      </c>
      <c r="C2063" s="19">
        <f>41264+(3*365)</f>
        <v>42359</v>
      </c>
      <c r="D2063" s="18" t="s">
        <v>60</v>
      </c>
      <c r="E2063" s="18" t="s">
        <v>69</v>
      </c>
      <c r="F2063" s="21">
        <v>1608</v>
      </c>
    </row>
    <row r="2064" spans="2:6" x14ac:dyDescent="0.25">
      <c r="B2064" s="18" t="s">
        <v>10</v>
      </c>
      <c r="C2064" s="19">
        <f>41258+(3*365)</f>
        <v>42353</v>
      </c>
      <c r="D2064" s="18" t="s">
        <v>67</v>
      </c>
      <c r="E2064" s="18" t="s">
        <v>66</v>
      </c>
      <c r="F2064" s="21">
        <v>1080</v>
      </c>
    </row>
    <row r="2065" spans="2:6" x14ac:dyDescent="0.25">
      <c r="B2065" s="18" t="s">
        <v>25</v>
      </c>
      <c r="C2065" s="19">
        <f>40161+(3*365)</f>
        <v>41256</v>
      </c>
      <c r="D2065" s="18" t="s">
        <v>78</v>
      </c>
      <c r="E2065" s="18" t="s">
        <v>66</v>
      </c>
      <c r="F2065" s="21">
        <v>166</v>
      </c>
    </row>
    <row r="2066" spans="2:6" x14ac:dyDescent="0.25">
      <c r="B2066" s="18" t="s">
        <v>8</v>
      </c>
      <c r="C2066" s="19">
        <f>40001+(3*365)</f>
        <v>41096</v>
      </c>
      <c r="D2066" s="18" t="s">
        <v>77</v>
      </c>
      <c r="E2066" s="18" t="s">
        <v>63</v>
      </c>
      <c r="F2066" s="21">
        <v>1107</v>
      </c>
    </row>
    <row r="2067" spans="2:6" x14ac:dyDescent="0.25">
      <c r="B2067" s="18" t="s">
        <v>10</v>
      </c>
      <c r="C2067" s="19">
        <f>40895+(3*365)</f>
        <v>41990</v>
      </c>
      <c r="D2067" s="18" t="s">
        <v>65</v>
      </c>
      <c r="E2067" s="18" t="s">
        <v>72</v>
      </c>
      <c r="F2067" s="21">
        <v>306</v>
      </c>
    </row>
    <row r="2068" spans="2:6" x14ac:dyDescent="0.25">
      <c r="B2068" s="18" t="s">
        <v>25</v>
      </c>
      <c r="C2068" s="19">
        <f>40816+(3*365)</f>
        <v>41911</v>
      </c>
      <c r="D2068" s="18" t="s">
        <v>79</v>
      </c>
      <c r="E2068" s="18" t="s">
        <v>61</v>
      </c>
      <c r="F2068" s="21">
        <v>116</v>
      </c>
    </row>
    <row r="2069" spans="2:6" x14ac:dyDescent="0.25">
      <c r="B2069" s="18" t="s">
        <v>9</v>
      </c>
      <c r="C2069" s="19">
        <f>39994+(3*365)</f>
        <v>41089</v>
      </c>
      <c r="D2069" s="18" t="s">
        <v>62</v>
      </c>
      <c r="E2069" s="18" t="s">
        <v>61</v>
      </c>
      <c r="F2069" s="21">
        <v>948</v>
      </c>
    </row>
    <row r="2070" spans="2:6" x14ac:dyDescent="0.25">
      <c r="B2070" s="18" t="s">
        <v>8</v>
      </c>
      <c r="C2070" s="19">
        <f>40175+(3*365)</f>
        <v>41270</v>
      </c>
      <c r="D2070" s="18" t="s">
        <v>77</v>
      </c>
      <c r="E2070" s="18" t="s">
        <v>69</v>
      </c>
      <c r="F2070" s="21">
        <v>4509</v>
      </c>
    </row>
    <row r="2071" spans="2:6" x14ac:dyDescent="0.25">
      <c r="B2071" s="18" t="s">
        <v>18</v>
      </c>
      <c r="C2071" s="19">
        <f>40343+(3*365)</f>
        <v>41438</v>
      </c>
      <c r="D2071" s="18" t="s">
        <v>68</v>
      </c>
      <c r="E2071" s="18" t="s">
        <v>69</v>
      </c>
      <c r="F2071" s="21">
        <v>2646</v>
      </c>
    </row>
    <row r="2072" spans="2:6" x14ac:dyDescent="0.25">
      <c r="B2072" s="18" t="s">
        <v>9</v>
      </c>
      <c r="C2072" s="19">
        <f>39973+(3*365)</f>
        <v>41068</v>
      </c>
      <c r="D2072" s="18" t="s">
        <v>62</v>
      </c>
      <c r="E2072" s="18" t="s">
        <v>69</v>
      </c>
      <c r="F2072" s="21">
        <v>276</v>
      </c>
    </row>
    <row r="2073" spans="2:6" x14ac:dyDescent="0.25">
      <c r="B2073" s="18" t="s">
        <v>31</v>
      </c>
      <c r="C2073" s="19">
        <f>40452+(3*365)</f>
        <v>41547</v>
      </c>
      <c r="D2073" s="18" t="s">
        <v>76</v>
      </c>
      <c r="E2073" s="18" t="s">
        <v>66</v>
      </c>
      <c r="F2073" s="21">
        <v>144</v>
      </c>
    </row>
    <row r="2074" spans="2:6" x14ac:dyDescent="0.25">
      <c r="B2074" s="18" t="s">
        <v>21</v>
      </c>
      <c r="C2074" s="19">
        <f>40858+(3*365)</f>
        <v>41953</v>
      </c>
      <c r="D2074" s="18" t="s">
        <v>73</v>
      </c>
      <c r="E2074" s="18" t="s">
        <v>59</v>
      </c>
      <c r="F2074" s="21">
        <v>300</v>
      </c>
    </row>
    <row r="2075" spans="2:6" x14ac:dyDescent="0.25">
      <c r="B2075" s="18" t="s">
        <v>25</v>
      </c>
      <c r="C2075" s="19">
        <f>40547+(3*365)</f>
        <v>41642</v>
      </c>
      <c r="D2075" s="18" t="s">
        <v>78</v>
      </c>
      <c r="E2075" s="18" t="s">
        <v>72</v>
      </c>
      <c r="F2075" s="21">
        <v>3528</v>
      </c>
    </row>
    <row r="2076" spans="2:6" x14ac:dyDescent="0.25">
      <c r="B2076" s="18" t="s">
        <v>21</v>
      </c>
      <c r="C2076" s="19">
        <f>39901+(3*365)</f>
        <v>40996</v>
      </c>
      <c r="D2076" s="18" t="s">
        <v>58</v>
      </c>
      <c r="E2076" s="18" t="s">
        <v>69</v>
      </c>
      <c r="F2076" s="21">
        <v>136</v>
      </c>
    </row>
    <row r="2077" spans="2:6" x14ac:dyDescent="0.25">
      <c r="B2077" s="18" t="s">
        <v>11</v>
      </c>
      <c r="C2077" s="19">
        <f>41138+(3*365)</f>
        <v>42233</v>
      </c>
      <c r="D2077" s="18" t="s">
        <v>74</v>
      </c>
      <c r="E2077" s="18" t="s">
        <v>63</v>
      </c>
      <c r="F2077" s="21">
        <v>540</v>
      </c>
    </row>
    <row r="2078" spans="2:6" x14ac:dyDescent="0.25">
      <c r="B2078" s="18" t="s">
        <v>18</v>
      </c>
      <c r="C2078" s="19">
        <f>41136+(3*365)</f>
        <v>42231</v>
      </c>
      <c r="D2078" s="18" t="s">
        <v>68</v>
      </c>
      <c r="E2078" s="18" t="s">
        <v>75</v>
      </c>
      <c r="F2078" s="21">
        <v>702</v>
      </c>
    </row>
    <row r="2079" spans="2:6" x14ac:dyDescent="0.25">
      <c r="B2079" s="18" t="s">
        <v>31</v>
      </c>
      <c r="C2079" s="19">
        <f>40263+(3*365)</f>
        <v>41358</v>
      </c>
      <c r="D2079" s="18" t="s">
        <v>76</v>
      </c>
      <c r="E2079" s="18" t="s">
        <v>66</v>
      </c>
      <c r="F2079" s="21">
        <v>792</v>
      </c>
    </row>
    <row r="2080" spans="2:6" x14ac:dyDescent="0.25">
      <c r="B2080" s="18" t="s">
        <v>25</v>
      </c>
      <c r="C2080" s="19">
        <f>41146+(3*365)</f>
        <v>42241</v>
      </c>
      <c r="D2080" s="18" t="s">
        <v>79</v>
      </c>
      <c r="E2080" s="18" t="s">
        <v>75</v>
      </c>
      <c r="F2080" s="21">
        <v>416</v>
      </c>
    </row>
    <row r="2081" spans="2:6" x14ac:dyDescent="0.25">
      <c r="B2081" s="18" t="s">
        <v>8</v>
      </c>
      <c r="C2081" s="19">
        <f>41112+(3*365)</f>
        <v>42207</v>
      </c>
      <c r="D2081" s="18" t="s">
        <v>81</v>
      </c>
      <c r="E2081" s="18" t="s">
        <v>69</v>
      </c>
      <c r="F2081" s="21">
        <v>3380</v>
      </c>
    </row>
    <row r="2082" spans="2:6" x14ac:dyDescent="0.25">
      <c r="B2082" s="18" t="s">
        <v>25</v>
      </c>
      <c r="C2082" s="19">
        <f>40339+(3*365)</f>
        <v>41434</v>
      </c>
      <c r="D2082" s="18" t="s">
        <v>78</v>
      </c>
      <c r="E2082" s="18" t="s">
        <v>75</v>
      </c>
      <c r="F2082" s="21">
        <v>99</v>
      </c>
    </row>
    <row r="2083" spans="2:6" x14ac:dyDescent="0.25">
      <c r="B2083" s="18" t="s">
        <v>11</v>
      </c>
      <c r="C2083" s="19">
        <f>40055+(3*365)</f>
        <v>41150</v>
      </c>
      <c r="D2083" s="18" t="s">
        <v>74</v>
      </c>
      <c r="E2083" s="18" t="s">
        <v>72</v>
      </c>
      <c r="F2083" s="21">
        <v>357</v>
      </c>
    </row>
    <row r="2084" spans="2:6" x14ac:dyDescent="0.25">
      <c r="B2084" s="18" t="s">
        <v>9</v>
      </c>
      <c r="C2084" s="19">
        <f>40892+(3*365)</f>
        <v>41987</v>
      </c>
      <c r="D2084" s="18" t="s">
        <v>62</v>
      </c>
      <c r="E2084" s="18" t="s">
        <v>61</v>
      </c>
      <c r="F2084" s="21">
        <v>684</v>
      </c>
    </row>
    <row r="2085" spans="2:6" x14ac:dyDescent="0.25">
      <c r="B2085" s="18" t="s">
        <v>8</v>
      </c>
      <c r="C2085" s="19">
        <f>40164+(3*365)</f>
        <v>41259</v>
      </c>
      <c r="D2085" s="18" t="s">
        <v>77</v>
      </c>
      <c r="E2085" s="18" t="s">
        <v>61</v>
      </c>
      <c r="F2085" s="21">
        <v>210</v>
      </c>
    </row>
    <row r="2086" spans="2:6" x14ac:dyDescent="0.25">
      <c r="B2086" s="18" t="s">
        <v>25</v>
      </c>
      <c r="C2086" s="19">
        <f>41134+(3*365)</f>
        <v>42229</v>
      </c>
      <c r="D2086" s="18" t="s">
        <v>79</v>
      </c>
      <c r="E2086" s="18" t="s">
        <v>61</v>
      </c>
      <c r="F2086" s="21">
        <v>236</v>
      </c>
    </row>
    <row r="2087" spans="2:6" x14ac:dyDescent="0.25">
      <c r="B2087" s="18" t="s">
        <v>9</v>
      </c>
      <c r="C2087" s="19">
        <f>40306+(3*365)</f>
        <v>41401</v>
      </c>
      <c r="D2087" s="18" t="s">
        <v>62</v>
      </c>
      <c r="E2087" s="18" t="s">
        <v>63</v>
      </c>
      <c r="F2087" s="21">
        <v>516</v>
      </c>
    </row>
    <row r="2088" spans="2:6" x14ac:dyDescent="0.25">
      <c r="B2088" s="18" t="s">
        <v>18</v>
      </c>
      <c r="C2088" s="19">
        <f>40023+(3*365)</f>
        <v>41118</v>
      </c>
      <c r="D2088" s="18" t="s">
        <v>71</v>
      </c>
      <c r="E2088" s="18" t="s">
        <v>63</v>
      </c>
      <c r="F2088" s="21">
        <v>528</v>
      </c>
    </row>
    <row r="2089" spans="2:6" x14ac:dyDescent="0.25">
      <c r="B2089" s="18" t="s">
        <v>8</v>
      </c>
      <c r="C2089" s="19">
        <f>39849+(3*365)</f>
        <v>40944</v>
      </c>
      <c r="D2089" s="18" t="s">
        <v>77</v>
      </c>
      <c r="E2089" s="18" t="s">
        <v>75</v>
      </c>
      <c r="F2089" s="21">
        <v>720</v>
      </c>
    </row>
    <row r="2090" spans="2:6" x14ac:dyDescent="0.25">
      <c r="B2090" s="18" t="s">
        <v>10</v>
      </c>
      <c r="C2090" s="19">
        <f>40869+(3*365)</f>
        <v>41964</v>
      </c>
      <c r="D2090" s="18" t="s">
        <v>67</v>
      </c>
      <c r="E2090" s="18" t="s">
        <v>61</v>
      </c>
      <c r="F2090" s="21">
        <v>584</v>
      </c>
    </row>
    <row r="2091" spans="2:6" x14ac:dyDescent="0.25">
      <c r="B2091" s="18" t="s">
        <v>9</v>
      </c>
      <c r="C2091" s="19">
        <f>40038+(3*365)</f>
        <v>41133</v>
      </c>
      <c r="D2091" s="18" t="s">
        <v>62</v>
      </c>
      <c r="E2091" s="18" t="s">
        <v>75</v>
      </c>
      <c r="F2091" s="21">
        <v>22</v>
      </c>
    </row>
    <row r="2092" spans="2:6" x14ac:dyDescent="0.25">
      <c r="B2092" s="18" t="s">
        <v>11</v>
      </c>
      <c r="C2092" s="19">
        <f>40636+(3*365)</f>
        <v>41731</v>
      </c>
      <c r="D2092" s="18" t="s">
        <v>60</v>
      </c>
      <c r="E2092" s="18" t="s">
        <v>59</v>
      </c>
      <c r="F2092" s="21">
        <v>630</v>
      </c>
    </row>
    <row r="2093" spans="2:6" x14ac:dyDescent="0.25">
      <c r="B2093" s="18" t="s">
        <v>21</v>
      </c>
      <c r="C2093" s="19">
        <f>39840+(3*365)</f>
        <v>40935</v>
      </c>
      <c r="D2093" s="18" t="s">
        <v>58</v>
      </c>
      <c r="E2093" s="18" t="s">
        <v>59</v>
      </c>
      <c r="F2093" s="21">
        <v>68</v>
      </c>
    </row>
    <row r="2094" spans="2:6" x14ac:dyDescent="0.25">
      <c r="B2094" s="18" t="s">
        <v>21</v>
      </c>
      <c r="C2094" s="19">
        <f>39996+(3*365)</f>
        <v>41091</v>
      </c>
      <c r="D2094" s="18" t="s">
        <v>58</v>
      </c>
      <c r="E2094" s="18" t="s">
        <v>69</v>
      </c>
      <c r="F2094" s="21">
        <v>756</v>
      </c>
    </row>
    <row r="2095" spans="2:6" x14ac:dyDescent="0.25">
      <c r="B2095" s="18" t="s">
        <v>18</v>
      </c>
      <c r="C2095" s="19">
        <f>41223+(3*365)</f>
        <v>42318</v>
      </c>
      <c r="D2095" s="18" t="s">
        <v>71</v>
      </c>
      <c r="E2095" s="18" t="s">
        <v>72</v>
      </c>
      <c r="F2095" s="21">
        <v>5058</v>
      </c>
    </row>
    <row r="2096" spans="2:6" x14ac:dyDescent="0.25">
      <c r="B2096" s="18" t="s">
        <v>10</v>
      </c>
      <c r="C2096" s="19">
        <f>40451+(3*365)</f>
        <v>41546</v>
      </c>
      <c r="D2096" s="18" t="s">
        <v>65</v>
      </c>
      <c r="E2096" s="18" t="s">
        <v>59</v>
      </c>
      <c r="F2096" s="21">
        <v>540</v>
      </c>
    </row>
    <row r="2097" spans="2:6" x14ac:dyDescent="0.25">
      <c r="B2097" s="18" t="s">
        <v>8</v>
      </c>
      <c r="C2097" s="19">
        <f>40631+(3*365)</f>
        <v>41726</v>
      </c>
      <c r="D2097" s="18" t="s">
        <v>81</v>
      </c>
      <c r="E2097" s="18" t="s">
        <v>75</v>
      </c>
      <c r="F2097" s="21">
        <v>88</v>
      </c>
    </row>
    <row r="2098" spans="2:6" x14ac:dyDescent="0.25">
      <c r="B2098" s="18" t="s">
        <v>25</v>
      </c>
      <c r="C2098" s="19">
        <f>40589+(3*365)</f>
        <v>41684</v>
      </c>
      <c r="D2098" s="18" t="s">
        <v>78</v>
      </c>
      <c r="E2098" s="18" t="s">
        <v>72</v>
      </c>
      <c r="F2098" s="21">
        <v>2216</v>
      </c>
    </row>
    <row r="2099" spans="2:6" x14ac:dyDescent="0.25">
      <c r="B2099" s="18" t="s">
        <v>11</v>
      </c>
      <c r="C2099" s="19">
        <f>41077+(3*365)</f>
        <v>42172</v>
      </c>
      <c r="D2099" s="18" t="s">
        <v>74</v>
      </c>
      <c r="E2099" s="18" t="s">
        <v>59</v>
      </c>
      <c r="F2099" s="21">
        <v>592</v>
      </c>
    </row>
    <row r="2100" spans="2:6" x14ac:dyDescent="0.25">
      <c r="B2100" s="18" t="s">
        <v>31</v>
      </c>
      <c r="C2100" s="19">
        <f>40332+(3*365)</f>
        <v>41427</v>
      </c>
      <c r="D2100" s="18" t="s">
        <v>76</v>
      </c>
      <c r="E2100" s="18" t="s">
        <v>69</v>
      </c>
      <c r="F2100" s="21">
        <v>1134</v>
      </c>
    </row>
    <row r="2101" spans="2:6" x14ac:dyDescent="0.25">
      <c r="B2101" s="18" t="s">
        <v>18</v>
      </c>
      <c r="C2101" s="19">
        <f>40727+(3*365)</f>
        <v>41822</v>
      </c>
      <c r="D2101" s="18" t="s">
        <v>71</v>
      </c>
      <c r="E2101" s="18" t="s">
        <v>61</v>
      </c>
      <c r="F2101" s="21">
        <v>840</v>
      </c>
    </row>
    <row r="2102" spans="2:6" x14ac:dyDescent="0.25">
      <c r="B2102" s="18" t="s">
        <v>11</v>
      </c>
      <c r="C2102" s="19">
        <f>40874+(3*365)</f>
        <v>41969</v>
      </c>
      <c r="D2102" s="18" t="s">
        <v>74</v>
      </c>
      <c r="E2102" s="18" t="s">
        <v>72</v>
      </c>
      <c r="F2102" s="21">
        <v>630</v>
      </c>
    </row>
    <row r="2103" spans="2:6" x14ac:dyDescent="0.25">
      <c r="B2103" s="18" t="s">
        <v>9</v>
      </c>
      <c r="C2103" s="19">
        <f>40059+(3*365)</f>
        <v>41154</v>
      </c>
      <c r="D2103" s="18" t="s">
        <v>62</v>
      </c>
      <c r="E2103" s="18" t="s">
        <v>66</v>
      </c>
      <c r="F2103" s="21">
        <v>180</v>
      </c>
    </row>
    <row r="2104" spans="2:6" x14ac:dyDescent="0.25">
      <c r="B2104" s="18" t="s">
        <v>25</v>
      </c>
      <c r="C2104" s="19">
        <f>40444+(3*365)</f>
        <v>41539</v>
      </c>
      <c r="D2104" s="18" t="s">
        <v>78</v>
      </c>
      <c r="E2104" s="18" t="s">
        <v>64</v>
      </c>
      <c r="F2104" s="21">
        <v>12390</v>
      </c>
    </row>
    <row r="2105" spans="2:6" x14ac:dyDescent="0.25">
      <c r="B2105" s="18" t="s">
        <v>31</v>
      </c>
      <c r="C2105" s="19">
        <f>40390+(3*365)</f>
        <v>41485</v>
      </c>
      <c r="D2105" s="18" t="s">
        <v>76</v>
      </c>
      <c r="E2105" s="18" t="s">
        <v>63</v>
      </c>
      <c r="F2105" s="21">
        <v>972</v>
      </c>
    </row>
    <row r="2106" spans="2:6" x14ac:dyDescent="0.25">
      <c r="B2106" s="18" t="s">
        <v>31</v>
      </c>
      <c r="C2106" s="19">
        <f>40381+(3*365)</f>
        <v>41476</v>
      </c>
      <c r="D2106" s="18" t="s">
        <v>70</v>
      </c>
      <c r="E2106" s="18" t="s">
        <v>61</v>
      </c>
      <c r="F2106" s="21">
        <v>585</v>
      </c>
    </row>
    <row r="2107" spans="2:6" x14ac:dyDescent="0.25">
      <c r="B2107" s="18" t="s">
        <v>9</v>
      </c>
      <c r="C2107" s="19">
        <f>40632+(3*365)</f>
        <v>41727</v>
      </c>
      <c r="D2107" s="18" t="s">
        <v>62</v>
      </c>
      <c r="E2107" s="18" t="s">
        <v>66</v>
      </c>
      <c r="F2107" s="21">
        <v>735</v>
      </c>
    </row>
    <row r="2108" spans="2:6" x14ac:dyDescent="0.25">
      <c r="B2108" s="18" t="s">
        <v>11</v>
      </c>
      <c r="C2108" s="19">
        <f>40260+(3*365)</f>
        <v>41355</v>
      </c>
      <c r="D2108" s="18" t="s">
        <v>60</v>
      </c>
      <c r="E2108" s="18" t="s">
        <v>72</v>
      </c>
      <c r="F2108" s="21">
        <v>960</v>
      </c>
    </row>
    <row r="2109" spans="2:6" x14ac:dyDescent="0.25">
      <c r="B2109" s="18" t="s">
        <v>31</v>
      </c>
      <c r="C2109" s="19">
        <f>40078+(3*365)</f>
        <v>41173</v>
      </c>
      <c r="D2109" s="18" t="s">
        <v>76</v>
      </c>
      <c r="E2109" s="18" t="s">
        <v>75</v>
      </c>
      <c r="F2109" s="21">
        <v>207</v>
      </c>
    </row>
    <row r="2110" spans="2:6" x14ac:dyDescent="0.25">
      <c r="B2110" s="18" t="s">
        <v>8</v>
      </c>
      <c r="C2110" s="19">
        <f>40855+(3*365)</f>
        <v>41950</v>
      </c>
      <c r="D2110" s="18" t="s">
        <v>81</v>
      </c>
      <c r="E2110" s="18" t="s">
        <v>61</v>
      </c>
      <c r="F2110" s="21">
        <v>292</v>
      </c>
    </row>
    <row r="2111" spans="2:6" x14ac:dyDescent="0.25">
      <c r="B2111" s="18" t="s">
        <v>31</v>
      </c>
      <c r="C2111" s="19">
        <f>40709+(3*365)</f>
        <v>41804</v>
      </c>
      <c r="D2111" s="18" t="s">
        <v>70</v>
      </c>
      <c r="E2111" s="18" t="s">
        <v>75</v>
      </c>
      <c r="F2111" s="21">
        <v>234</v>
      </c>
    </row>
    <row r="2112" spans="2:6" x14ac:dyDescent="0.25">
      <c r="B2112" s="18" t="s">
        <v>9</v>
      </c>
      <c r="C2112" s="19">
        <f>41134+(3*365)</f>
        <v>42229</v>
      </c>
      <c r="D2112" s="18" t="s">
        <v>62</v>
      </c>
      <c r="E2112" s="18" t="s">
        <v>75</v>
      </c>
      <c r="F2112" s="21">
        <v>351</v>
      </c>
    </row>
    <row r="2113" spans="2:6" x14ac:dyDescent="0.25">
      <c r="B2113" s="18" t="s">
        <v>18</v>
      </c>
      <c r="C2113" s="19">
        <f>39899+(3*365)</f>
        <v>40994</v>
      </c>
      <c r="D2113" s="18" t="s">
        <v>71</v>
      </c>
      <c r="E2113" s="18" t="s">
        <v>59</v>
      </c>
      <c r="F2113" s="21">
        <v>392</v>
      </c>
    </row>
    <row r="2114" spans="2:6" x14ac:dyDescent="0.25">
      <c r="B2114" s="18" t="s">
        <v>11</v>
      </c>
      <c r="C2114" s="19">
        <f>40332+(3*365)</f>
        <v>41427</v>
      </c>
      <c r="D2114" s="18" t="s">
        <v>60</v>
      </c>
      <c r="E2114" s="18" t="s">
        <v>59</v>
      </c>
      <c r="F2114" s="21">
        <v>93</v>
      </c>
    </row>
    <row r="2115" spans="2:6" x14ac:dyDescent="0.25">
      <c r="B2115" s="18" t="s">
        <v>31</v>
      </c>
      <c r="C2115" s="19">
        <f>40868+(3*365)</f>
        <v>41963</v>
      </c>
      <c r="D2115" s="18" t="s">
        <v>76</v>
      </c>
      <c r="E2115" s="18" t="s">
        <v>63</v>
      </c>
      <c r="F2115" s="21">
        <v>783</v>
      </c>
    </row>
    <row r="2116" spans="2:6" x14ac:dyDescent="0.25">
      <c r="B2116" s="18" t="s">
        <v>25</v>
      </c>
      <c r="C2116" s="19">
        <f>40422+(3*365)</f>
        <v>41517</v>
      </c>
      <c r="D2116" s="18" t="s">
        <v>79</v>
      </c>
      <c r="E2116" s="18" t="s">
        <v>63</v>
      </c>
      <c r="F2116" s="21">
        <v>555</v>
      </c>
    </row>
    <row r="2117" spans="2:6" x14ac:dyDescent="0.25">
      <c r="B2117" s="18" t="s">
        <v>31</v>
      </c>
      <c r="C2117" s="19">
        <f>40995+(3*365)</f>
        <v>42090</v>
      </c>
      <c r="D2117" s="18" t="s">
        <v>76</v>
      </c>
      <c r="E2117" s="18" t="s">
        <v>66</v>
      </c>
      <c r="F2117" s="21">
        <v>2241</v>
      </c>
    </row>
    <row r="2118" spans="2:6" x14ac:dyDescent="0.25">
      <c r="B2118" s="18" t="s">
        <v>11</v>
      </c>
      <c r="C2118" s="19">
        <f>40874+(3*365)</f>
        <v>41969</v>
      </c>
      <c r="D2118" s="18" t="s">
        <v>74</v>
      </c>
      <c r="E2118" s="18" t="s">
        <v>64</v>
      </c>
      <c r="F2118" s="21">
        <v>5976</v>
      </c>
    </row>
    <row r="2119" spans="2:6" x14ac:dyDescent="0.25">
      <c r="B2119" s="18" t="s">
        <v>11</v>
      </c>
      <c r="C2119" s="19">
        <f>39841+(3*365)</f>
        <v>40936</v>
      </c>
      <c r="D2119" s="18" t="s">
        <v>60</v>
      </c>
      <c r="E2119" s="18" t="s">
        <v>59</v>
      </c>
      <c r="F2119" s="21">
        <v>672</v>
      </c>
    </row>
    <row r="2120" spans="2:6" x14ac:dyDescent="0.25">
      <c r="B2120" s="18" t="s">
        <v>25</v>
      </c>
      <c r="C2120" s="19">
        <f>40518+(3*365)</f>
        <v>41613</v>
      </c>
      <c r="D2120" s="18" t="s">
        <v>79</v>
      </c>
      <c r="E2120" s="18" t="s">
        <v>72</v>
      </c>
      <c r="F2120" s="21">
        <v>5061</v>
      </c>
    </row>
    <row r="2121" spans="2:6" x14ac:dyDescent="0.25">
      <c r="B2121" s="18" t="s">
        <v>21</v>
      </c>
      <c r="C2121" s="19">
        <f>40148+(3*365)</f>
        <v>41243</v>
      </c>
      <c r="D2121" s="18" t="s">
        <v>58</v>
      </c>
      <c r="E2121" s="18" t="s">
        <v>61</v>
      </c>
      <c r="F2121" s="21">
        <v>296</v>
      </c>
    </row>
    <row r="2122" spans="2:6" x14ac:dyDescent="0.25">
      <c r="B2122" s="18" t="s">
        <v>21</v>
      </c>
      <c r="C2122" s="19">
        <f>40263+(3*365)</f>
        <v>41358</v>
      </c>
      <c r="D2122" s="18" t="s">
        <v>58</v>
      </c>
      <c r="E2122" s="18" t="s">
        <v>72</v>
      </c>
      <c r="F2122" s="21">
        <v>3850</v>
      </c>
    </row>
    <row r="2123" spans="2:6" x14ac:dyDescent="0.25">
      <c r="B2123" s="18" t="s">
        <v>25</v>
      </c>
      <c r="C2123" s="19">
        <f>40428+(3*365)</f>
        <v>41523</v>
      </c>
      <c r="D2123" s="18" t="s">
        <v>78</v>
      </c>
      <c r="E2123" s="18" t="s">
        <v>61</v>
      </c>
      <c r="F2123" s="21">
        <v>78</v>
      </c>
    </row>
    <row r="2124" spans="2:6" x14ac:dyDescent="0.25">
      <c r="B2124" s="18" t="s">
        <v>8</v>
      </c>
      <c r="C2124" s="19">
        <f>39995+(3*365)</f>
        <v>41090</v>
      </c>
      <c r="D2124" s="18" t="s">
        <v>81</v>
      </c>
      <c r="E2124" s="18" t="s">
        <v>61</v>
      </c>
      <c r="F2124" s="21">
        <v>528</v>
      </c>
    </row>
    <row r="2125" spans="2:6" x14ac:dyDescent="0.25">
      <c r="B2125" s="18" t="s">
        <v>10</v>
      </c>
      <c r="C2125" s="19">
        <f>40140+(3*365)</f>
        <v>41235</v>
      </c>
      <c r="D2125" s="18" t="s">
        <v>65</v>
      </c>
      <c r="E2125" s="18" t="s">
        <v>75</v>
      </c>
      <c r="F2125" s="21">
        <v>936</v>
      </c>
    </row>
    <row r="2126" spans="2:6" x14ac:dyDescent="0.25">
      <c r="B2126" s="18" t="s">
        <v>25</v>
      </c>
      <c r="C2126" s="19">
        <f>40590+(3*365)</f>
        <v>41685</v>
      </c>
      <c r="D2126" s="18" t="s">
        <v>79</v>
      </c>
      <c r="E2126" s="18" t="s">
        <v>63</v>
      </c>
      <c r="F2126" s="21">
        <v>208</v>
      </c>
    </row>
    <row r="2127" spans="2:6" x14ac:dyDescent="0.25">
      <c r="B2127" s="18" t="s">
        <v>11</v>
      </c>
      <c r="C2127" s="19">
        <f>40864+(3*365)</f>
        <v>41959</v>
      </c>
      <c r="D2127" s="18" t="s">
        <v>60</v>
      </c>
      <c r="E2127" s="18" t="s">
        <v>61</v>
      </c>
      <c r="F2127" s="21">
        <v>708</v>
      </c>
    </row>
    <row r="2128" spans="2:6" x14ac:dyDescent="0.25">
      <c r="B2128" s="18" t="s">
        <v>18</v>
      </c>
      <c r="C2128" s="19">
        <f>40553+(3*365)</f>
        <v>41648</v>
      </c>
      <c r="D2128" s="18" t="s">
        <v>68</v>
      </c>
      <c r="E2128" s="18" t="s">
        <v>61</v>
      </c>
      <c r="F2128" s="21">
        <v>672</v>
      </c>
    </row>
    <row r="2129" spans="2:6" x14ac:dyDescent="0.25">
      <c r="B2129" s="18" t="s">
        <v>9</v>
      </c>
      <c r="C2129" s="19">
        <f>40371+(3*365)</f>
        <v>41466</v>
      </c>
      <c r="D2129" s="18" t="s">
        <v>62</v>
      </c>
      <c r="E2129" s="18" t="s">
        <v>66</v>
      </c>
      <c r="F2129" s="21">
        <v>544</v>
      </c>
    </row>
    <row r="2130" spans="2:6" x14ac:dyDescent="0.25">
      <c r="B2130" s="18" t="s">
        <v>11</v>
      </c>
      <c r="C2130" s="19">
        <f>40805+(3*365)</f>
        <v>41900</v>
      </c>
      <c r="D2130" s="18" t="s">
        <v>74</v>
      </c>
      <c r="E2130" s="18" t="s">
        <v>61</v>
      </c>
      <c r="F2130" s="21">
        <v>1170</v>
      </c>
    </row>
    <row r="2131" spans="2:6" x14ac:dyDescent="0.25">
      <c r="B2131" s="18" t="s">
        <v>10</v>
      </c>
      <c r="C2131" s="19">
        <f>40370+(3*365)</f>
        <v>41465</v>
      </c>
      <c r="D2131" s="18" t="s">
        <v>65</v>
      </c>
      <c r="E2131" s="18" t="s">
        <v>75</v>
      </c>
      <c r="F2131" s="21">
        <v>729</v>
      </c>
    </row>
    <row r="2132" spans="2:6" x14ac:dyDescent="0.25">
      <c r="B2132" s="18" t="s">
        <v>18</v>
      </c>
      <c r="C2132" s="19">
        <f>40280+(3*365)</f>
        <v>41375</v>
      </c>
      <c r="D2132" s="18" t="s">
        <v>68</v>
      </c>
      <c r="E2132" s="18" t="s">
        <v>72</v>
      </c>
      <c r="F2132" s="21">
        <v>450</v>
      </c>
    </row>
    <row r="2133" spans="2:6" x14ac:dyDescent="0.25">
      <c r="B2133" s="18" t="s">
        <v>25</v>
      </c>
      <c r="C2133" s="19">
        <f>41033+(3*365)</f>
        <v>42128</v>
      </c>
      <c r="D2133" s="18" t="s">
        <v>78</v>
      </c>
      <c r="E2133" s="18" t="s">
        <v>69</v>
      </c>
      <c r="F2133" s="21">
        <v>552</v>
      </c>
    </row>
    <row r="2134" spans="2:6" x14ac:dyDescent="0.25">
      <c r="B2134" s="18" t="s">
        <v>9</v>
      </c>
      <c r="C2134" s="19">
        <f>40630+(3*365)</f>
        <v>41725</v>
      </c>
      <c r="D2134" s="18" t="s">
        <v>62</v>
      </c>
      <c r="E2134" s="18" t="s">
        <v>69</v>
      </c>
      <c r="F2134" s="21">
        <v>594</v>
      </c>
    </row>
    <row r="2135" spans="2:6" x14ac:dyDescent="0.25">
      <c r="B2135" s="18" t="s">
        <v>18</v>
      </c>
      <c r="C2135" s="19">
        <f>40617+(3*365)</f>
        <v>41712</v>
      </c>
      <c r="D2135" s="18" t="s">
        <v>71</v>
      </c>
      <c r="E2135" s="18" t="s">
        <v>75</v>
      </c>
      <c r="F2135" s="21">
        <v>960</v>
      </c>
    </row>
    <row r="2136" spans="2:6" x14ac:dyDescent="0.25">
      <c r="B2136" s="18" t="s">
        <v>31</v>
      </c>
      <c r="C2136" s="19">
        <f>40571+(3*365)</f>
        <v>41666</v>
      </c>
      <c r="D2136" s="18" t="s">
        <v>76</v>
      </c>
      <c r="E2136" s="18" t="s">
        <v>61</v>
      </c>
      <c r="F2136" s="21">
        <v>330</v>
      </c>
    </row>
    <row r="2137" spans="2:6" x14ac:dyDescent="0.25">
      <c r="B2137" s="18" t="s">
        <v>31</v>
      </c>
      <c r="C2137" s="19">
        <f>40379+(3*365)</f>
        <v>41474</v>
      </c>
      <c r="D2137" s="18" t="s">
        <v>70</v>
      </c>
      <c r="E2137" s="18" t="s">
        <v>72</v>
      </c>
      <c r="F2137" s="21">
        <v>2988</v>
      </c>
    </row>
    <row r="2138" spans="2:6" x14ac:dyDescent="0.25">
      <c r="B2138" s="18" t="s">
        <v>31</v>
      </c>
      <c r="C2138" s="19">
        <f>39909+(3*365)</f>
        <v>41004</v>
      </c>
      <c r="D2138" s="18" t="s">
        <v>70</v>
      </c>
      <c r="E2138" s="18" t="s">
        <v>63</v>
      </c>
      <c r="F2138" s="21">
        <v>552</v>
      </c>
    </row>
    <row r="2139" spans="2:6" x14ac:dyDescent="0.25">
      <c r="B2139" s="18" t="s">
        <v>11</v>
      </c>
      <c r="C2139" s="19">
        <f>40119+(3*365)</f>
        <v>41214</v>
      </c>
      <c r="D2139" s="18" t="s">
        <v>74</v>
      </c>
      <c r="E2139" s="18" t="s">
        <v>66</v>
      </c>
      <c r="F2139" s="21">
        <v>558</v>
      </c>
    </row>
    <row r="2140" spans="2:6" x14ac:dyDescent="0.25">
      <c r="B2140" s="18" t="s">
        <v>8</v>
      </c>
      <c r="C2140" s="19">
        <f>40710+(3*365)</f>
        <v>41805</v>
      </c>
      <c r="D2140" s="18" t="s">
        <v>77</v>
      </c>
      <c r="E2140" s="18" t="s">
        <v>64</v>
      </c>
      <c r="F2140" s="21">
        <v>5056</v>
      </c>
    </row>
    <row r="2141" spans="2:6" x14ac:dyDescent="0.25">
      <c r="B2141" s="18" t="s">
        <v>25</v>
      </c>
      <c r="C2141" s="19">
        <f>40310+(3*365)</f>
        <v>41405</v>
      </c>
      <c r="D2141" s="18" t="s">
        <v>78</v>
      </c>
      <c r="E2141" s="18" t="s">
        <v>69</v>
      </c>
      <c r="F2141" s="21">
        <v>1782</v>
      </c>
    </row>
    <row r="2142" spans="2:6" x14ac:dyDescent="0.25">
      <c r="B2142" s="18" t="s">
        <v>10</v>
      </c>
      <c r="C2142" s="19">
        <f>40569+(3*365)</f>
        <v>41664</v>
      </c>
      <c r="D2142" s="18" t="s">
        <v>65</v>
      </c>
      <c r="E2142" s="18" t="s">
        <v>72</v>
      </c>
      <c r="F2142" s="21">
        <v>1888</v>
      </c>
    </row>
    <row r="2143" spans="2:6" x14ac:dyDescent="0.25">
      <c r="B2143" s="18" t="s">
        <v>9</v>
      </c>
      <c r="C2143" s="19">
        <f>40748+(3*365)</f>
        <v>41843</v>
      </c>
      <c r="D2143" s="18" t="s">
        <v>62</v>
      </c>
      <c r="E2143" s="18" t="s">
        <v>61</v>
      </c>
      <c r="F2143" s="21">
        <v>744</v>
      </c>
    </row>
    <row r="2144" spans="2:6" x14ac:dyDescent="0.25">
      <c r="B2144" s="18" t="s">
        <v>8</v>
      </c>
      <c r="C2144" s="19">
        <f>40037+(3*365)</f>
        <v>41132</v>
      </c>
      <c r="D2144" s="18" t="s">
        <v>77</v>
      </c>
      <c r="E2144" s="18" t="s">
        <v>75</v>
      </c>
      <c r="F2144" s="21">
        <v>315</v>
      </c>
    </row>
    <row r="2145" spans="2:6" x14ac:dyDescent="0.25">
      <c r="B2145" s="18" t="s">
        <v>11</v>
      </c>
      <c r="C2145" s="19">
        <f>40942+(3*365)</f>
        <v>42037</v>
      </c>
      <c r="D2145" s="18" t="s">
        <v>74</v>
      </c>
      <c r="E2145" s="18" t="s">
        <v>75</v>
      </c>
      <c r="F2145" s="21">
        <v>280</v>
      </c>
    </row>
    <row r="2146" spans="2:6" x14ac:dyDescent="0.25">
      <c r="B2146" s="18" t="s">
        <v>25</v>
      </c>
      <c r="C2146" s="19">
        <f>40961+(3*365)</f>
        <v>42056</v>
      </c>
      <c r="D2146" s="18" t="s">
        <v>79</v>
      </c>
      <c r="E2146" s="18" t="s">
        <v>72</v>
      </c>
      <c r="F2146" s="21">
        <v>2856</v>
      </c>
    </row>
    <row r="2147" spans="2:6" x14ac:dyDescent="0.25">
      <c r="B2147" s="18" t="s">
        <v>8</v>
      </c>
      <c r="C2147" s="19">
        <f>40351+(3*365)</f>
        <v>41446</v>
      </c>
      <c r="D2147" s="18" t="s">
        <v>81</v>
      </c>
      <c r="E2147" s="18" t="s">
        <v>59</v>
      </c>
      <c r="F2147" s="21">
        <v>216</v>
      </c>
    </row>
    <row r="2148" spans="2:6" x14ac:dyDescent="0.25">
      <c r="B2148" s="18" t="s">
        <v>8</v>
      </c>
      <c r="C2148" s="19">
        <f>40696+(3*365)</f>
        <v>41791</v>
      </c>
      <c r="D2148" s="18" t="s">
        <v>77</v>
      </c>
      <c r="E2148" s="18" t="s">
        <v>69</v>
      </c>
      <c r="F2148" s="21">
        <v>4284</v>
      </c>
    </row>
    <row r="2149" spans="2:6" x14ac:dyDescent="0.25">
      <c r="B2149" s="18" t="s">
        <v>25</v>
      </c>
      <c r="C2149" s="19">
        <f>40121+(3*365)</f>
        <v>41216</v>
      </c>
      <c r="D2149" s="18" t="s">
        <v>79</v>
      </c>
      <c r="E2149" s="18" t="s">
        <v>69</v>
      </c>
      <c r="F2149" s="21">
        <v>1780</v>
      </c>
    </row>
    <row r="2150" spans="2:6" x14ac:dyDescent="0.25">
      <c r="B2150" s="18" t="s">
        <v>10</v>
      </c>
      <c r="C2150" s="19">
        <f>40412+(3*365)</f>
        <v>41507</v>
      </c>
      <c r="D2150" s="18" t="s">
        <v>65</v>
      </c>
      <c r="E2150" s="18" t="s">
        <v>72</v>
      </c>
      <c r="F2150" s="21">
        <v>825</v>
      </c>
    </row>
    <row r="2151" spans="2:6" x14ac:dyDescent="0.25">
      <c r="B2151" s="18" t="s">
        <v>8</v>
      </c>
      <c r="C2151" s="19">
        <f>40799+(3*365)</f>
        <v>41894</v>
      </c>
      <c r="D2151" s="18" t="s">
        <v>77</v>
      </c>
      <c r="E2151" s="18" t="s">
        <v>75</v>
      </c>
      <c r="F2151" s="21">
        <v>700</v>
      </c>
    </row>
    <row r="2152" spans="2:6" x14ac:dyDescent="0.25">
      <c r="B2152" s="18" t="s">
        <v>8</v>
      </c>
      <c r="C2152" s="19">
        <f>40791+(3*365)</f>
        <v>41886</v>
      </c>
      <c r="D2152" s="18" t="s">
        <v>77</v>
      </c>
      <c r="E2152" s="18" t="s">
        <v>69</v>
      </c>
      <c r="F2152" s="21">
        <v>3580</v>
      </c>
    </row>
    <row r="2153" spans="2:6" x14ac:dyDescent="0.25">
      <c r="B2153" s="18" t="s">
        <v>10</v>
      </c>
      <c r="C2153" s="19">
        <f>39918+(3*365)</f>
        <v>41013</v>
      </c>
      <c r="D2153" s="18" t="s">
        <v>65</v>
      </c>
      <c r="E2153" s="18" t="s">
        <v>75</v>
      </c>
      <c r="F2153" s="21">
        <v>900</v>
      </c>
    </row>
    <row r="2154" spans="2:6" x14ac:dyDescent="0.25">
      <c r="B2154" s="18" t="s">
        <v>11</v>
      </c>
      <c r="C2154" s="19">
        <f>40210+(3*365)</f>
        <v>41305</v>
      </c>
      <c r="D2154" s="18" t="s">
        <v>60</v>
      </c>
      <c r="E2154" s="18" t="s">
        <v>69</v>
      </c>
      <c r="F2154" s="21">
        <v>4176</v>
      </c>
    </row>
    <row r="2155" spans="2:6" x14ac:dyDescent="0.25">
      <c r="B2155" s="18" t="s">
        <v>18</v>
      </c>
      <c r="C2155" s="19">
        <f>40627+(3*365)</f>
        <v>41722</v>
      </c>
      <c r="D2155" s="18" t="s">
        <v>68</v>
      </c>
      <c r="E2155" s="18" t="s">
        <v>66</v>
      </c>
      <c r="F2155" s="21">
        <v>744</v>
      </c>
    </row>
    <row r="2156" spans="2:6" x14ac:dyDescent="0.25">
      <c r="B2156" s="18" t="s">
        <v>18</v>
      </c>
      <c r="C2156" s="19">
        <f>39995+(3*365)</f>
        <v>41090</v>
      </c>
      <c r="D2156" s="18" t="s">
        <v>68</v>
      </c>
      <c r="E2156" s="18" t="s">
        <v>75</v>
      </c>
      <c r="F2156" s="21">
        <v>68</v>
      </c>
    </row>
    <row r="2157" spans="2:6" x14ac:dyDescent="0.25">
      <c r="B2157" s="18" t="s">
        <v>10</v>
      </c>
      <c r="C2157" s="19">
        <f>40304+(3*365)</f>
        <v>41399</v>
      </c>
      <c r="D2157" s="18" t="s">
        <v>65</v>
      </c>
      <c r="E2157" s="18" t="s">
        <v>59</v>
      </c>
      <c r="F2157" s="21">
        <v>216</v>
      </c>
    </row>
    <row r="2158" spans="2:6" x14ac:dyDescent="0.25">
      <c r="B2158" s="18" t="s">
        <v>9</v>
      </c>
      <c r="C2158" s="19">
        <f>41079+(3*365)</f>
        <v>42174</v>
      </c>
      <c r="D2158" s="18" t="s">
        <v>62</v>
      </c>
      <c r="E2158" s="18" t="s">
        <v>72</v>
      </c>
      <c r="F2158" s="21">
        <v>219</v>
      </c>
    </row>
    <row r="2159" spans="2:6" x14ac:dyDescent="0.25">
      <c r="B2159" s="18" t="s">
        <v>8</v>
      </c>
      <c r="C2159" s="19">
        <f>40384+(3*365)</f>
        <v>41479</v>
      </c>
      <c r="D2159" s="18" t="s">
        <v>81</v>
      </c>
      <c r="E2159" s="18" t="s">
        <v>75</v>
      </c>
      <c r="F2159" s="21">
        <v>1368</v>
      </c>
    </row>
    <row r="2160" spans="2:6" x14ac:dyDescent="0.25">
      <c r="B2160" s="18" t="s">
        <v>10</v>
      </c>
      <c r="C2160" s="19">
        <f>40183+(3*365)</f>
        <v>41278</v>
      </c>
      <c r="D2160" s="18" t="s">
        <v>65</v>
      </c>
      <c r="E2160" s="18" t="s">
        <v>59</v>
      </c>
      <c r="F2160" s="21">
        <v>168</v>
      </c>
    </row>
    <row r="2161" spans="2:6" x14ac:dyDescent="0.25">
      <c r="B2161" s="18" t="s">
        <v>10</v>
      </c>
      <c r="C2161" s="19">
        <f>40401+(3*365)</f>
        <v>41496</v>
      </c>
      <c r="D2161" s="18" t="s">
        <v>65</v>
      </c>
      <c r="E2161" s="18" t="s">
        <v>64</v>
      </c>
      <c r="F2161" s="21">
        <v>5976</v>
      </c>
    </row>
    <row r="2162" spans="2:6" x14ac:dyDescent="0.25">
      <c r="B2162" s="18" t="s">
        <v>25</v>
      </c>
      <c r="C2162" s="19">
        <f>40725+(3*365)</f>
        <v>41820</v>
      </c>
      <c r="D2162" s="18" t="s">
        <v>79</v>
      </c>
      <c r="E2162" s="18" t="s">
        <v>61</v>
      </c>
      <c r="F2162" s="21">
        <v>812</v>
      </c>
    </row>
    <row r="2163" spans="2:6" x14ac:dyDescent="0.25">
      <c r="B2163" s="18" t="s">
        <v>8</v>
      </c>
      <c r="C2163" s="19">
        <f>41126+(3*365)</f>
        <v>42221</v>
      </c>
      <c r="D2163" s="18" t="s">
        <v>77</v>
      </c>
      <c r="E2163" s="18" t="s">
        <v>69</v>
      </c>
      <c r="F2163" s="21">
        <v>4320</v>
      </c>
    </row>
    <row r="2164" spans="2:6" x14ac:dyDescent="0.25">
      <c r="B2164" s="18" t="s">
        <v>10</v>
      </c>
      <c r="C2164" s="19">
        <f>40619+(3*365)</f>
        <v>41714</v>
      </c>
      <c r="D2164" s="18" t="s">
        <v>67</v>
      </c>
      <c r="E2164" s="18" t="s">
        <v>64</v>
      </c>
      <c r="F2164" s="21">
        <v>2384</v>
      </c>
    </row>
    <row r="2165" spans="2:6" x14ac:dyDescent="0.25">
      <c r="B2165" s="18" t="s">
        <v>31</v>
      </c>
      <c r="C2165" s="19">
        <f>40141+(3*365)</f>
        <v>41236</v>
      </c>
      <c r="D2165" s="18" t="s">
        <v>70</v>
      </c>
      <c r="E2165" s="18" t="s">
        <v>75</v>
      </c>
      <c r="F2165" s="21">
        <v>186</v>
      </c>
    </row>
    <row r="2166" spans="2:6" x14ac:dyDescent="0.25">
      <c r="B2166" s="18" t="s">
        <v>31</v>
      </c>
      <c r="C2166" s="19">
        <f>40295+(3*365)</f>
        <v>41390</v>
      </c>
      <c r="D2166" s="18" t="s">
        <v>70</v>
      </c>
      <c r="E2166" s="18" t="s">
        <v>72</v>
      </c>
      <c r="F2166" s="21">
        <v>7209</v>
      </c>
    </row>
    <row r="2167" spans="2:6" x14ac:dyDescent="0.25">
      <c r="B2167" s="18" t="s">
        <v>31</v>
      </c>
      <c r="C2167" s="19">
        <f>39931+(3*365)</f>
        <v>41026</v>
      </c>
      <c r="D2167" s="18" t="s">
        <v>76</v>
      </c>
      <c r="E2167" s="18" t="s">
        <v>61</v>
      </c>
      <c r="F2167" s="21">
        <v>972</v>
      </c>
    </row>
    <row r="2168" spans="2:6" x14ac:dyDescent="0.25">
      <c r="B2168" s="18" t="s">
        <v>10</v>
      </c>
      <c r="C2168" s="19">
        <f>41019+(3*365)</f>
        <v>42114</v>
      </c>
      <c r="D2168" s="18" t="s">
        <v>65</v>
      </c>
      <c r="E2168" s="18" t="s">
        <v>69</v>
      </c>
      <c r="F2168" s="21">
        <v>2250</v>
      </c>
    </row>
    <row r="2169" spans="2:6" x14ac:dyDescent="0.25">
      <c r="B2169" s="18" t="s">
        <v>10</v>
      </c>
      <c r="C2169" s="19">
        <f>41214+(3*365)</f>
        <v>42309</v>
      </c>
      <c r="D2169" s="18" t="s">
        <v>67</v>
      </c>
      <c r="E2169" s="18" t="s">
        <v>72</v>
      </c>
      <c r="F2169" s="21">
        <v>162</v>
      </c>
    </row>
    <row r="2170" spans="2:6" x14ac:dyDescent="0.25">
      <c r="B2170" s="18" t="s">
        <v>31</v>
      </c>
      <c r="C2170" s="19">
        <f>41223+(3*365)</f>
        <v>42318</v>
      </c>
      <c r="D2170" s="18" t="s">
        <v>70</v>
      </c>
      <c r="E2170" s="18" t="s">
        <v>63</v>
      </c>
      <c r="F2170" s="21">
        <v>1674</v>
      </c>
    </row>
    <row r="2171" spans="2:6" x14ac:dyDescent="0.25">
      <c r="B2171" s="18" t="s">
        <v>8</v>
      </c>
      <c r="C2171" s="19">
        <f>39867+(3*365)</f>
        <v>40962</v>
      </c>
      <c r="D2171" s="18" t="s">
        <v>81</v>
      </c>
      <c r="E2171" s="18" t="s">
        <v>64</v>
      </c>
      <c r="F2171" s="21">
        <v>6453</v>
      </c>
    </row>
    <row r="2172" spans="2:6" x14ac:dyDescent="0.25">
      <c r="B2172" s="18" t="s">
        <v>21</v>
      </c>
      <c r="C2172" s="19">
        <f>40410+(3*365)</f>
        <v>41505</v>
      </c>
      <c r="D2172" s="18" t="s">
        <v>73</v>
      </c>
      <c r="E2172" s="18" t="s">
        <v>75</v>
      </c>
      <c r="F2172" s="21">
        <v>216</v>
      </c>
    </row>
    <row r="2173" spans="2:6" x14ac:dyDescent="0.25">
      <c r="B2173" s="18" t="s">
        <v>21</v>
      </c>
      <c r="C2173" s="19">
        <f>40196+(3*365)</f>
        <v>41291</v>
      </c>
      <c r="D2173" s="18" t="s">
        <v>58</v>
      </c>
      <c r="E2173" s="18" t="s">
        <v>66</v>
      </c>
      <c r="F2173" s="21">
        <v>136</v>
      </c>
    </row>
    <row r="2174" spans="2:6" x14ac:dyDescent="0.25">
      <c r="B2174" s="18" t="s">
        <v>9</v>
      </c>
      <c r="C2174" s="19">
        <f>40700+(3*365)</f>
        <v>41795</v>
      </c>
      <c r="D2174" s="18" t="s">
        <v>80</v>
      </c>
      <c r="E2174" s="18" t="s">
        <v>69</v>
      </c>
      <c r="F2174" s="21">
        <v>528</v>
      </c>
    </row>
    <row r="2175" spans="2:6" x14ac:dyDescent="0.25">
      <c r="B2175" s="18" t="s">
        <v>8</v>
      </c>
      <c r="C2175" s="19">
        <f>40720+(3*365)</f>
        <v>41815</v>
      </c>
      <c r="D2175" s="18" t="s">
        <v>81</v>
      </c>
      <c r="E2175" s="18" t="s">
        <v>64</v>
      </c>
      <c r="F2175" s="21">
        <v>12376</v>
      </c>
    </row>
    <row r="2176" spans="2:6" x14ac:dyDescent="0.25">
      <c r="B2176" s="18" t="s">
        <v>18</v>
      </c>
      <c r="C2176" s="19">
        <f>40427+(3*365)</f>
        <v>41522</v>
      </c>
      <c r="D2176" s="18" t="s">
        <v>68</v>
      </c>
      <c r="E2176" s="18" t="s">
        <v>69</v>
      </c>
      <c r="F2176" s="21">
        <v>1956</v>
      </c>
    </row>
    <row r="2177" spans="2:6" x14ac:dyDescent="0.25">
      <c r="B2177" s="18" t="s">
        <v>11</v>
      </c>
      <c r="C2177" s="19">
        <f>40296+(3*365)</f>
        <v>41391</v>
      </c>
      <c r="D2177" s="18" t="s">
        <v>74</v>
      </c>
      <c r="E2177" s="18" t="s">
        <v>64</v>
      </c>
      <c r="F2177" s="21">
        <v>8592</v>
      </c>
    </row>
    <row r="2178" spans="2:6" x14ac:dyDescent="0.25">
      <c r="B2178" s="18" t="s">
        <v>18</v>
      </c>
      <c r="C2178" s="19">
        <f>40235+(3*365)</f>
        <v>41330</v>
      </c>
      <c r="D2178" s="18" t="s">
        <v>71</v>
      </c>
      <c r="E2178" s="18" t="s">
        <v>72</v>
      </c>
      <c r="F2178" s="21">
        <v>3885</v>
      </c>
    </row>
    <row r="2179" spans="2:6" x14ac:dyDescent="0.25">
      <c r="B2179" s="18" t="s">
        <v>8</v>
      </c>
      <c r="C2179" s="19">
        <f>40051+(3*365)</f>
        <v>41146</v>
      </c>
      <c r="D2179" s="18" t="s">
        <v>81</v>
      </c>
      <c r="E2179" s="18" t="s">
        <v>69</v>
      </c>
      <c r="F2179" s="21">
        <v>2436</v>
      </c>
    </row>
    <row r="2180" spans="2:6" x14ac:dyDescent="0.25">
      <c r="B2180" s="18" t="s">
        <v>31</v>
      </c>
      <c r="C2180" s="19">
        <f>40661+(3*365)</f>
        <v>41756</v>
      </c>
      <c r="D2180" s="18" t="s">
        <v>70</v>
      </c>
      <c r="E2180" s="18" t="s">
        <v>61</v>
      </c>
      <c r="F2180" s="21">
        <v>1134</v>
      </c>
    </row>
    <row r="2181" spans="2:6" x14ac:dyDescent="0.25">
      <c r="B2181" s="18" t="s">
        <v>31</v>
      </c>
      <c r="C2181" s="19">
        <f>40521+(3*365)</f>
        <v>41616</v>
      </c>
      <c r="D2181" s="18" t="s">
        <v>70</v>
      </c>
      <c r="E2181" s="18" t="s">
        <v>64</v>
      </c>
      <c r="F2181" s="21">
        <v>15498</v>
      </c>
    </row>
    <row r="2182" spans="2:6" x14ac:dyDescent="0.25">
      <c r="B2182" s="18" t="s">
        <v>9</v>
      </c>
      <c r="C2182" s="19">
        <f>40527+(3*365)</f>
        <v>41622</v>
      </c>
      <c r="D2182" s="18" t="s">
        <v>62</v>
      </c>
      <c r="E2182" s="18" t="s">
        <v>59</v>
      </c>
      <c r="F2182" s="21">
        <v>290</v>
      </c>
    </row>
    <row r="2183" spans="2:6" x14ac:dyDescent="0.25">
      <c r="B2183" s="18" t="s">
        <v>10</v>
      </c>
      <c r="C2183" s="19">
        <f>40678+(3*365)</f>
        <v>41773</v>
      </c>
      <c r="D2183" s="18" t="s">
        <v>65</v>
      </c>
      <c r="E2183" s="18" t="s">
        <v>66</v>
      </c>
      <c r="F2183" s="21">
        <v>152</v>
      </c>
    </row>
    <row r="2184" spans="2:6" x14ac:dyDescent="0.25">
      <c r="B2184" s="18" t="s">
        <v>18</v>
      </c>
      <c r="C2184" s="19">
        <f>40721+(3*365)</f>
        <v>41816</v>
      </c>
      <c r="D2184" s="18" t="s">
        <v>68</v>
      </c>
      <c r="E2184" s="18" t="s">
        <v>59</v>
      </c>
      <c r="F2184" s="21">
        <v>124</v>
      </c>
    </row>
    <row r="2185" spans="2:6" x14ac:dyDescent="0.25">
      <c r="B2185" s="18" t="s">
        <v>21</v>
      </c>
      <c r="C2185" s="19">
        <f>40491+(3*365)</f>
        <v>41586</v>
      </c>
      <c r="D2185" s="18" t="s">
        <v>73</v>
      </c>
      <c r="E2185" s="18" t="s">
        <v>66</v>
      </c>
      <c r="F2185" s="21">
        <v>180</v>
      </c>
    </row>
    <row r="2186" spans="2:6" x14ac:dyDescent="0.25">
      <c r="B2186" s="18" t="s">
        <v>25</v>
      </c>
      <c r="C2186" s="19">
        <f>41149+(3*365)</f>
        <v>42244</v>
      </c>
      <c r="D2186" s="18" t="s">
        <v>78</v>
      </c>
      <c r="E2186" s="18" t="s">
        <v>72</v>
      </c>
      <c r="F2186" s="21">
        <v>1272</v>
      </c>
    </row>
    <row r="2187" spans="2:6" x14ac:dyDescent="0.25">
      <c r="B2187" s="18" t="s">
        <v>31</v>
      </c>
      <c r="C2187" s="19">
        <f>40263+(3*365)</f>
        <v>41358</v>
      </c>
      <c r="D2187" s="18" t="s">
        <v>70</v>
      </c>
      <c r="E2187" s="18" t="s">
        <v>64</v>
      </c>
      <c r="F2187" s="21">
        <v>11040</v>
      </c>
    </row>
    <row r="2188" spans="2:6" x14ac:dyDescent="0.25">
      <c r="B2188" s="18" t="s">
        <v>25</v>
      </c>
      <c r="C2188" s="19">
        <f>40922+(3*365)</f>
        <v>42017</v>
      </c>
      <c r="D2188" s="18" t="s">
        <v>78</v>
      </c>
      <c r="E2188" s="18" t="s">
        <v>64</v>
      </c>
      <c r="F2188" s="21">
        <v>1540</v>
      </c>
    </row>
    <row r="2189" spans="2:6" x14ac:dyDescent="0.25">
      <c r="B2189" s="18" t="s">
        <v>31</v>
      </c>
      <c r="C2189" s="19">
        <f>40466+(3*365)</f>
        <v>41561</v>
      </c>
      <c r="D2189" s="18" t="s">
        <v>76</v>
      </c>
      <c r="E2189" s="18" t="s">
        <v>69</v>
      </c>
      <c r="F2189" s="21">
        <v>3708</v>
      </c>
    </row>
    <row r="2190" spans="2:6" x14ac:dyDescent="0.25">
      <c r="B2190" s="18" t="s">
        <v>11</v>
      </c>
      <c r="C2190" s="19">
        <f>40500+(3*365)</f>
        <v>41595</v>
      </c>
      <c r="D2190" s="18" t="s">
        <v>74</v>
      </c>
      <c r="E2190" s="18" t="s">
        <v>72</v>
      </c>
      <c r="F2190" s="21">
        <v>2097</v>
      </c>
    </row>
    <row r="2191" spans="2:6" x14ac:dyDescent="0.25">
      <c r="B2191" s="18" t="s">
        <v>11</v>
      </c>
      <c r="C2191" s="19">
        <f>40636+(3*365)</f>
        <v>41731</v>
      </c>
      <c r="D2191" s="18" t="s">
        <v>60</v>
      </c>
      <c r="E2191" s="18" t="s">
        <v>59</v>
      </c>
      <c r="F2191" s="21">
        <v>204</v>
      </c>
    </row>
    <row r="2192" spans="2:6" x14ac:dyDescent="0.25">
      <c r="B2192" s="18" t="s">
        <v>25</v>
      </c>
      <c r="C2192" s="19">
        <f>40197+(3*365)</f>
        <v>41292</v>
      </c>
      <c r="D2192" s="18" t="s">
        <v>78</v>
      </c>
      <c r="E2192" s="18" t="s">
        <v>63</v>
      </c>
      <c r="F2192" s="21">
        <v>924</v>
      </c>
    </row>
    <row r="2193" spans="2:6" x14ac:dyDescent="0.25">
      <c r="B2193" s="18" t="s">
        <v>9</v>
      </c>
      <c r="C2193" s="19">
        <f>40348+(3*365)</f>
        <v>41443</v>
      </c>
      <c r="D2193" s="18" t="s">
        <v>80</v>
      </c>
      <c r="E2193" s="18" t="s">
        <v>69</v>
      </c>
      <c r="F2193" s="21">
        <v>1480</v>
      </c>
    </row>
    <row r="2194" spans="2:6" x14ac:dyDescent="0.25">
      <c r="B2194" s="18" t="s">
        <v>11</v>
      </c>
      <c r="C2194" s="19">
        <f>40013+(3*365)</f>
        <v>41108</v>
      </c>
      <c r="D2194" s="18" t="s">
        <v>74</v>
      </c>
      <c r="E2194" s="18" t="s">
        <v>61</v>
      </c>
      <c r="F2194" s="21">
        <v>648</v>
      </c>
    </row>
    <row r="2195" spans="2:6" x14ac:dyDescent="0.25">
      <c r="B2195" s="18" t="s">
        <v>11</v>
      </c>
      <c r="C2195" s="19">
        <f>40467+(3*365)</f>
        <v>41562</v>
      </c>
      <c r="D2195" s="18" t="s">
        <v>74</v>
      </c>
      <c r="E2195" s="18" t="s">
        <v>72</v>
      </c>
      <c r="F2195" s="21">
        <v>705</v>
      </c>
    </row>
    <row r="2196" spans="2:6" x14ac:dyDescent="0.25">
      <c r="B2196" s="18" t="s">
        <v>10</v>
      </c>
      <c r="C2196" s="19">
        <f>41029+(3*365)</f>
        <v>42124</v>
      </c>
      <c r="D2196" s="18" t="s">
        <v>67</v>
      </c>
      <c r="E2196" s="18" t="s">
        <v>59</v>
      </c>
      <c r="F2196" s="21">
        <v>684</v>
      </c>
    </row>
    <row r="2197" spans="2:6" x14ac:dyDescent="0.25">
      <c r="B2197" s="18" t="s">
        <v>18</v>
      </c>
      <c r="C2197" s="19">
        <f>41022+(3*365)</f>
        <v>42117</v>
      </c>
      <c r="D2197" s="18" t="s">
        <v>71</v>
      </c>
      <c r="E2197" s="18" t="s">
        <v>61</v>
      </c>
      <c r="F2197" s="21">
        <v>564</v>
      </c>
    </row>
    <row r="2198" spans="2:6" x14ac:dyDescent="0.25">
      <c r="B2198" s="18" t="s">
        <v>10</v>
      </c>
      <c r="C2198" s="19">
        <f>41198+(3*365)</f>
        <v>42293</v>
      </c>
      <c r="D2198" s="18" t="s">
        <v>67</v>
      </c>
      <c r="E2198" s="18" t="s">
        <v>69</v>
      </c>
      <c r="F2198" s="21">
        <v>1638</v>
      </c>
    </row>
    <row r="2199" spans="2:6" x14ac:dyDescent="0.25">
      <c r="B2199" s="18" t="s">
        <v>21</v>
      </c>
      <c r="C2199" s="19">
        <f>41114+(3*365)</f>
        <v>42209</v>
      </c>
      <c r="D2199" s="18" t="s">
        <v>58</v>
      </c>
      <c r="E2199" s="18" t="s">
        <v>63</v>
      </c>
      <c r="F2199" s="21">
        <v>208</v>
      </c>
    </row>
    <row r="2200" spans="2:6" x14ac:dyDescent="0.25">
      <c r="B2200" s="18" t="s">
        <v>9</v>
      </c>
      <c r="C2200" s="19">
        <f>40693+(3*365)</f>
        <v>41788</v>
      </c>
      <c r="D2200" s="18" t="s">
        <v>62</v>
      </c>
      <c r="E2200" s="18" t="s">
        <v>64</v>
      </c>
      <c r="F2200" s="21">
        <v>6831</v>
      </c>
    </row>
    <row r="2201" spans="2:6" x14ac:dyDescent="0.25">
      <c r="B2201" s="18" t="s">
        <v>9</v>
      </c>
      <c r="C2201" s="19">
        <f>40376+(3*365)</f>
        <v>41471</v>
      </c>
      <c r="D2201" s="18" t="s">
        <v>62</v>
      </c>
      <c r="E2201" s="18" t="s">
        <v>64</v>
      </c>
      <c r="F2201" s="21">
        <v>12582</v>
      </c>
    </row>
    <row r="2202" spans="2:6" x14ac:dyDescent="0.25">
      <c r="B2202" s="18" t="s">
        <v>31</v>
      </c>
      <c r="C2202" s="19">
        <f>40147+(3*365)</f>
        <v>41242</v>
      </c>
      <c r="D2202" s="18" t="s">
        <v>70</v>
      </c>
      <c r="E2202" s="18" t="s">
        <v>63</v>
      </c>
      <c r="F2202" s="21">
        <v>882</v>
      </c>
    </row>
    <row r="2203" spans="2:6" x14ac:dyDescent="0.25">
      <c r="B2203" s="18" t="s">
        <v>18</v>
      </c>
      <c r="C2203" s="19">
        <f>40343+(3*365)</f>
        <v>41438</v>
      </c>
      <c r="D2203" s="18" t="s">
        <v>71</v>
      </c>
      <c r="E2203" s="18" t="s">
        <v>66</v>
      </c>
      <c r="F2203" s="21">
        <v>1896</v>
      </c>
    </row>
    <row r="2204" spans="2:6" x14ac:dyDescent="0.25">
      <c r="B2204" s="18" t="s">
        <v>21</v>
      </c>
      <c r="C2204" s="19">
        <f>40709+(3*365)</f>
        <v>41804</v>
      </c>
      <c r="D2204" s="18" t="s">
        <v>58</v>
      </c>
      <c r="E2204" s="18" t="s">
        <v>61</v>
      </c>
      <c r="F2204" s="21">
        <v>456</v>
      </c>
    </row>
    <row r="2205" spans="2:6" x14ac:dyDescent="0.25">
      <c r="B2205" s="18" t="s">
        <v>10</v>
      </c>
      <c r="C2205" s="19">
        <f>40462+(3*365)</f>
        <v>41557</v>
      </c>
      <c r="D2205" s="18" t="s">
        <v>67</v>
      </c>
      <c r="E2205" s="18" t="s">
        <v>64</v>
      </c>
      <c r="F2205" s="21">
        <v>2223</v>
      </c>
    </row>
    <row r="2206" spans="2:6" x14ac:dyDescent="0.25">
      <c r="B2206" s="18" t="s">
        <v>10</v>
      </c>
      <c r="C2206" s="19">
        <f>40514+(3*365)</f>
        <v>41609</v>
      </c>
      <c r="D2206" s="18" t="s">
        <v>67</v>
      </c>
      <c r="E2206" s="18" t="s">
        <v>69</v>
      </c>
      <c r="F2206" s="21">
        <v>3267</v>
      </c>
    </row>
    <row r="2207" spans="2:6" x14ac:dyDescent="0.25">
      <c r="B2207" s="18" t="s">
        <v>31</v>
      </c>
      <c r="C2207" s="19">
        <f>40152+(3*365)</f>
        <v>41247</v>
      </c>
      <c r="D2207" s="18" t="s">
        <v>76</v>
      </c>
      <c r="E2207" s="18" t="s">
        <v>61</v>
      </c>
      <c r="F2207" s="21">
        <v>1080</v>
      </c>
    </row>
    <row r="2208" spans="2:6" x14ac:dyDescent="0.25">
      <c r="B2208" s="18" t="s">
        <v>10</v>
      </c>
      <c r="C2208" s="19">
        <f>40274+(3*365)</f>
        <v>41369</v>
      </c>
      <c r="D2208" s="18" t="s">
        <v>65</v>
      </c>
      <c r="E2208" s="18" t="s">
        <v>64</v>
      </c>
      <c r="F2208" s="21">
        <v>5970</v>
      </c>
    </row>
    <row r="2209" spans="2:6" x14ac:dyDescent="0.25">
      <c r="B2209" s="18" t="s">
        <v>9</v>
      </c>
      <c r="C2209" s="19">
        <f>40693+(3*365)</f>
        <v>41788</v>
      </c>
      <c r="D2209" s="18" t="s">
        <v>80</v>
      </c>
      <c r="E2209" s="18" t="s">
        <v>75</v>
      </c>
      <c r="F2209" s="21">
        <v>216</v>
      </c>
    </row>
    <row r="2210" spans="2:6" x14ac:dyDescent="0.25">
      <c r="B2210" s="18" t="s">
        <v>18</v>
      </c>
      <c r="C2210" s="19">
        <f>41119+(3*365)</f>
        <v>42214</v>
      </c>
      <c r="D2210" s="18" t="s">
        <v>68</v>
      </c>
      <c r="E2210" s="18" t="s">
        <v>64</v>
      </c>
      <c r="F2210" s="21">
        <v>10080</v>
      </c>
    </row>
    <row r="2211" spans="2:6" x14ac:dyDescent="0.25">
      <c r="B2211" s="18" t="s">
        <v>18</v>
      </c>
      <c r="C2211" s="19">
        <f>40199+(3*365)</f>
        <v>41294</v>
      </c>
      <c r="D2211" s="18" t="s">
        <v>68</v>
      </c>
      <c r="E2211" s="18" t="s">
        <v>72</v>
      </c>
      <c r="F2211" s="21">
        <v>675</v>
      </c>
    </row>
    <row r="2212" spans="2:6" x14ac:dyDescent="0.25">
      <c r="B2212" s="18" t="s">
        <v>18</v>
      </c>
      <c r="C2212" s="19">
        <f>40853+(3*365)</f>
        <v>41948</v>
      </c>
      <c r="D2212" s="18" t="s">
        <v>68</v>
      </c>
      <c r="E2212" s="18" t="s">
        <v>64</v>
      </c>
      <c r="F2212" s="21">
        <v>8240</v>
      </c>
    </row>
    <row r="2213" spans="2:6" x14ac:dyDescent="0.25">
      <c r="B2213" s="18" t="s">
        <v>25</v>
      </c>
      <c r="C2213" s="19">
        <f>39876+(3*365)</f>
        <v>40971</v>
      </c>
      <c r="D2213" s="18" t="s">
        <v>79</v>
      </c>
      <c r="E2213" s="18" t="s">
        <v>61</v>
      </c>
      <c r="F2213" s="21">
        <v>630</v>
      </c>
    </row>
    <row r="2214" spans="2:6" x14ac:dyDescent="0.25">
      <c r="B2214" s="18" t="s">
        <v>9</v>
      </c>
      <c r="C2214" s="19">
        <f>39936+(3*365)</f>
        <v>41031</v>
      </c>
      <c r="D2214" s="18" t="s">
        <v>62</v>
      </c>
      <c r="E2214" s="18" t="s">
        <v>66</v>
      </c>
      <c r="F2214" s="21">
        <v>580</v>
      </c>
    </row>
    <row r="2215" spans="2:6" x14ac:dyDescent="0.25">
      <c r="B2215" s="18" t="s">
        <v>8</v>
      </c>
      <c r="C2215" s="19">
        <f>40721+(3*365)</f>
        <v>41816</v>
      </c>
      <c r="D2215" s="18" t="s">
        <v>81</v>
      </c>
      <c r="E2215" s="18" t="s">
        <v>63</v>
      </c>
      <c r="F2215" s="21">
        <v>212</v>
      </c>
    </row>
    <row r="2216" spans="2:6" x14ac:dyDescent="0.25">
      <c r="B2216" s="18" t="s">
        <v>21</v>
      </c>
      <c r="C2216" s="19">
        <f>39949+(3*365)</f>
        <v>41044</v>
      </c>
      <c r="D2216" s="18" t="s">
        <v>73</v>
      </c>
      <c r="E2216" s="18" t="s">
        <v>63</v>
      </c>
      <c r="F2216" s="21">
        <v>68</v>
      </c>
    </row>
    <row r="2217" spans="2:6" x14ac:dyDescent="0.25">
      <c r="B2217" s="18" t="s">
        <v>18</v>
      </c>
      <c r="C2217" s="19">
        <f>40197+(3*365)</f>
        <v>41292</v>
      </c>
      <c r="D2217" s="18" t="s">
        <v>68</v>
      </c>
      <c r="E2217" s="18" t="s">
        <v>69</v>
      </c>
      <c r="F2217" s="21">
        <v>360</v>
      </c>
    </row>
    <row r="2218" spans="2:6" x14ac:dyDescent="0.25">
      <c r="B2218" s="18" t="s">
        <v>25</v>
      </c>
      <c r="C2218" s="19">
        <f>40371+(3*365)</f>
        <v>41466</v>
      </c>
      <c r="D2218" s="18" t="s">
        <v>78</v>
      </c>
      <c r="E2218" s="18" t="s">
        <v>59</v>
      </c>
      <c r="F2218" s="21">
        <v>225</v>
      </c>
    </row>
    <row r="2219" spans="2:6" x14ac:dyDescent="0.25">
      <c r="B2219" s="18" t="s">
        <v>10</v>
      </c>
      <c r="C2219" s="19">
        <f>39957+(3*365)</f>
        <v>41052</v>
      </c>
      <c r="D2219" s="18" t="s">
        <v>67</v>
      </c>
      <c r="E2219" s="18" t="s">
        <v>66</v>
      </c>
      <c r="F2219" s="21">
        <v>1032</v>
      </c>
    </row>
    <row r="2220" spans="2:6" x14ac:dyDescent="0.25">
      <c r="B2220" s="18" t="s">
        <v>31</v>
      </c>
      <c r="C2220" s="19">
        <f>39903+(3*365)</f>
        <v>40998</v>
      </c>
      <c r="D2220" s="18" t="s">
        <v>76</v>
      </c>
      <c r="E2220" s="18" t="s">
        <v>69</v>
      </c>
      <c r="F2220" s="21">
        <v>207</v>
      </c>
    </row>
    <row r="2221" spans="2:6" x14ac:dyDescent="0.25">
      <c r="B2221" s="18" t="s">
        <v>31</v>
      </c>
      <c r="C2221" s="19">
        <f>40244+(3*365)</f>
        <v>41339</v>
      </c>
      <c r="D2221" s="18" t="s">
        <v>76</v>
      </c>
      <c r="E2221" s="18" t="s">
        <v>63</v>
      </c>
      <c r="F2221" s="21">
        <v>528</v>
      </c>
    </row>
    <row r="2222" spans="2:6" x14ac:dyDescent="0.25">
      <c r="B2222" s="18" t="s">
        <v>21</v>
      </c>
      <c r="C2222" s="19">
        <f>39886+(3*365)</f>
        <v>40981</v>
      </c>
      <c r="D2222" s="18" t="s">
        <v>58</v>
      </c>
      <c r="E2222" s="18" t="s">
        <v>69</v>
      </c>
      <c r="F2222" s="21">
        <v>1593</v>
      </c>
    </row>
    <row r="2223" spans="2:6" x14ac:dyDescent="0.25">
      <c r="B2223" s="18" t="s">
        <v>9</v>
      </c>
      <c r="C2223" s="19">
        <f>40789+(3*365)</f>
        <v>41884</v>
      </c>
      <c r="D2223" s="18" t="s">
        <v>80</v>
      </c>
      <c r="E2223" s="18" t="s">
        <v>66</v>
      </c>
      <c r="F2223" s="21">
        <v>1224</v>
      </c>
    </row>
    <row r="2224" spans="2:6" x14ac:dyDescent="0.25">
      <c r="B2224" s="18" t="s">
        <v>31</v>
      </c>
      <c r="C2224" s="19">
        <f>40687+(3*365)</f>
        <v>41782</v>
      </c>
      <c r="D2224" s="18" t="s">
        <v>70</v>
      </c>
      <c r="E2224" s="18" t="s">
        <v>63</v>
      </c>
      <c r="F2224" s="21">
        <v>159</v>
      </c>
    </row>
    <row r="2225" spans="2:6" x14ac:dyDescent="0.25">
      <c r="B2225" s="18" t="s">
        <v>21</v>
      </c>
      <c r="C2225" s="19">
        <f>39986+(3*365)</f>
        <v>41081</v>
      </c>
      <c r="D2225" s="18" t="s">
        <v>58</v>
      </c>
      <c r="E2225" s="18" t="s">
        <v>75</v>
      </c>
      <c r="F2225" s="21">
        <v>136</v>
      </c>
    </row>
    <row r="2226" spans="2:6" x14ac:dyDescent="0.25">
      <c r="B2226" s="18" t="s">
        <v>9</v>
      </c>
      <c r="C2226" s="19">
        <f>40523+(3*365)</f>
        <v>41618</v>
      </c>
      <c r="D2226" s="18" t="s">
        <v>62</v>
      </c>
      <c r="E2226" s="18" t="s">
        <v>66</v>
      </c>
      <c r="F2226" s="21">
        <v>720</v>
      </c>
    </row>
    <row r="2227" spans="2:6" x14ac:dyDescent="0.25">
      <c r="B2227" s="18" t="s">
        <v>9</v>
      </c>
      <c r="C2227" s="19">
        <f>41049+(3*365)</f>
        <v>42144</v>
      </c>
      <c r="D2227" s="18" t="s">
        <v>80</v>
      </c>
      <c r="E2227" s="18" t="s">
        <v>75</v>
      </c>
      <c r="F2227" s="21">
        <v>238</v>
      </c>
    </row>
    <row r="2228" spans="2:6" x14ac:dyDescent="0.25">
      <c r="B2228" s="18" t="s">
        <v>31</v>
      </c>
      <c r="C2228" s="19">
        <f>40686+(3*365)</f>
        <v>41781</v>
      </c>
      <c r="D2228" s="18" t="s">
        <v>76</v>
      </c>
      <c r="E2228" s="18" t="s">
        <v>66</v>
      </c>
      <c r="F2228" s="21">
        <v>486</v>
      </c>
    </row>
    <row r="2229" spans="2:6" x14ac:dyDescent="0.25">
      <c r="B2229" s="18" t="s">
        <v>25</v>
      </c>
      <c r="C2229" s="19">
        <f>40699+(3*365)</f>
        <v>41794</v>
      </c>
      <c r="D2229" s="18" t="s">
        <v>79</v>
      </c>
      <c r="E2229" s="18" t="s">
        <v>64</v>
      </c>
      <c r="F2229" s="21">
        <v>11952</v>
      </c>
    </row>
    <row r="2230" spans="2:6" x14ac:dyDescent="0.25">
      <c r="B2230" s="18" t="s">
        <v>31</v>
      </c>
      <c r="C2230" s="19">
        <f>40606+(3*365)</f>
        <v>41701</v>
      </c>
      <c r="D2230" s="18" t="s">
        <v>76</v>
      </c>
      <c r="E2230" s="18" t="s">
        <v>75</v>
      </c>
      <c r="F2230" s="21">
        <v>273</v>
      </c>
    </row>
    <row r="2231" spans="2:6" x14ac:dyDescent="0.25">
      <c r="B2231" s="18" t="s">
        <v>9</v>
      </c>
      <c r="C2231" s="19">
        <f>40505+(3*365)</f>
        <v>41600</v>
      </c>
      <c r="D2231" s="18" t="s">
        <v>62</v>
      </c>
      <c r="E2231" s="18" t="s">
        <v>66</v>
      </c>
      <c r="F2231" s="21">
        <v>328</v>
      </c>
    </row>
    <row r="2232" spans="2:6" x14ac:dyDescent="0.25">
      <c r="B2232" s="18" t="s">
        <v>9</v>
      </c>
      <c r="C2232" s="19">
        <f>39863+(3*365)</f>
        <v>40958</v>
      </c>
      <c r="D2232" s="18" t="s">
        <v>80</v>
      </c>
      <c r="E2232" s="18" t="s">
        <v>66</v>
      </c>
      <c r="F2232" s="21">
        <v>168</v>
      </c>
    </row>
    <row r="2233" spans="2:6" x14ac:dyDescent="0.25">
      <c r="B2233" s="18" t="s">
        <v>10</v>
      </c>
      <c r="C2233" s="19">
        <f>40780+(3*365)</f>
        <v>41875</v>
      </c>
      <c r="D2233" s="18" t="s">
        <v>65</v>
      </c>
      <c r="E2233" s="18" t="s">
        <v>59</v>
      </c>
      <c r="F2233" s="21">
        <v>372</v>
      </c>
    </row>
    <row r="2234" spans="2:6" x14ac:dyDescent="0.25">
      <c r="B2234" s="18" t="s">
        <v>31</v>
      </c>
      <c r="C2234" s="19">
        <f>40831+(3*365)</f>
        <v>41926</v>
      </c>
      <c r="D2234" s="18" t="s">
        <v>76</v>
      </c>
      <c r="E2234" s="18" t="s">
        <v>63</v>
      </c>
      <c r="F2234" s="21">
        <v>378</v>
      </c>
    </row>
    <row r="2235" spans="2:6" x14ac:dyDescent="0.25">
      <c r="B2235" s="18" t="s">
        <v>8</v>
      </c>
      <c r="C2235" s="19">
        <f>41017+(3*365)</f>
        <v>42112</v>
      </c>
      <c r="D2235" s="18" t="s">
        <v>81</v>
      </c>
      <c r="E2235" s="18" t="s">
        <v>63</v>
      </c>
      <c r="F2235" s="21">
        <v>612</v>
      </c>
    </row>
    <row r="2236" spans="2:6" x14ac:dyDescent="0.25">
      <c r="B2236" s="18" t="s">
        <v>9</v>
      </c>
      <c r="C2236" s="19">
        <f>40850+(3*365)</f>
        <v>41945</v>
      </c>
      <c r="D2236" s="18" t="s">
        <v>80</v>
      </c>
      <c r="E2236" s="18" t="s">
        <v>64</v>
      </c>
      <c r="F2236" s="21">
        <v>5346</v>
      </c>
    </row>
    <row r="2237" spans="2:6" x14ac:dyDescent="0.25">
      <c r="B2237" s="18" t="s">
        <v>10</v>
      </c>
      <c r="C2237" s="19">
        <f>41199+(3*365)</f>
        <v>42294</v>
      </c>
      <c r="D2237" s="18" t="s">
        <v>67</v>
      </c>
      <c r="E2237" s="18" t="s">
        <v>69</v>
      </c>
      <c r="F2237" s="21">
        <v>348</v>
      </c>
    </row>
    <row r="2238" spans="2:6" x14ac:dyDescent="0.25">
      <c r="B2238" s="18" t="s">
        <v>31</v>
      </c>
      <c r="C2238" s="19">
        <f>39959+(3*365)</f>
        <v>41054</v>
      </c>
      <c r="D2238" s="18" t="s">
        <v>70</v>
      </c>
      <c r="E2238" s="18" t="s">
        <v>63</v>
      </c>
      <c r="F2238" s="21">
        <v>1392</v>
      </c>
    </row>
    <row r="2239" spans="2:6" x14ac:dyDescent="0.25">
      <c r="B2239" s="18" t="s">
        <v>9</v>
      </c>
      <c r="C2239" s="19">
        <f>40504+(3*365)</f>
        <v>41599</v>
      </c>
      <c r="D2239" s="18" t="s">
        <v>80</v>
      </c>
      <c r="E2239" s="18" t="s">
        <v>75</v>
      </c>
      <c r="F2239" s="21">
        <v>272</v>
      </c>
    </row>
    <row r="2240" spans="2:6" x14ac:dyDescent="0.25">
      <c r="B2240" s="18" t="s">
        <v>18</v>
      </c>
      <c r="C2240" s="19">
        <f>41195+(3*365)</f>
        <v>42290</v>
      </c>
      <c r="D2240" s="18" t="s">
        <v>68</v>
      </c>
      <c r="E2240" s="18" t="s">
        <v>59</v>
      </c>
      <c r="F2240" s="21">
        <v>288</v>
      </c>
    </row>
    <row r="2241" spans="2:6" x14ac:dyDescent="0.25">
      <c r="B2241" s="18" t="s">
        <v>18</v>
      </c>
      <c r="C2241" s="19">
        <f>40140+(3*365)</f>
        <v>41235</v>
      </c>
      <c r="D2241" s="18" t="s">
        <v>71</v>
      </c>
      <c r="E2241" s="18" t="s">
        <v>59</v>
      </c>
      <c r="F2241" s="21">
        <v>450</v>
      </c>
    </row>
    <row r="2242" spans="2:6" x14ac:dyDescent="0.25">
      <c r="B2242" s="18" t="s">
        <v>18</v>
      </c>
      <c r="C2242" s="19">
        <f>40379+(3*365)</f>
        <v>41474</v>
      </c>
      <c r="D2242" s="18" t="s">
        <v>68</v>
      </c>
      <c r="E2242" s="18" t="s">
        <v>75</v>
      </c>
      <c r="F2242" s="21">
        <v>702</v>
      </c>
    </row>
    <row r="2243" spans="2:6" x14ac:dyDescent="0.25">
      <c r="B2243" s="18" t="s">
        <v>10</v>
      </c>
      <c r="C2243" s="19">
        <f>40777+(3*365)</f>
        <v>41872</v>
      </c>
      <c r="D2243" s="18" t="s">
        <v>65</v>
      </c>
      <c r="E2243" s="18" t="s">
        <v>63</v>
      </c>
      <c r="F2243" s="21">
        <v>336</v>
      </c>
    </row>
    <row r="2244" spans="2:6" x14ac:dyDescent="0.25">
      <c r="B2244" s="18" t="s">
        <v>9</v>
      </c>
      <c r="C2244" s="19">
        <f>40244+(3*365)</f>
        <v>41339</v>
      </c>
      <c r="D2244" s="18" t="s">
        <v>80</v>
      </c>
      <c r="E2244" s="18" t="s">
        <v>69</v>
      </c>
      <c r="F2244" s="21">
        <v>3104</v>
      </c>
    </row>
    <row r="2245" spans="2:6" x14ac:dyDescent="0.25">
      <c r="B2245" s="18" t="s">
        <v>18</v>
      </c>
      <c r="C2245" s="19">
        <f>39918+(3*365)</f>
        <v>41013</v>
      </c>
      <c r="D2245" s="18" t="s">
        <v>68</v>
      </c>
      <c r="E2245" s="18" t="s">
        <v>63</v>
      </c>
      <c r="F2245" s="21">
        <v>78</v>
      </c>
    </row>
    <row r="2246" spans="2:6" x14ac:dyDescent="0.25">
      <c r="B2246" s="18" t="s">
        <v>18</v>
      </c>
      <c r="C2246" s="19">
        <f>41256+(3*365)</f>
        <v>42351</v>
      </c>
      <c r="D2246" s="18" t="s">
        <v>71</v>
      </c>
      <c r="E2246" s="18" t="s">
        <v>61</v>
      </c>
      <c r="F2246" s="21">
        <v>1620</v>
      </c>
    </row>
    <row r="2247" spans="2:6" x14ac:dyDescent="0.25">
      <c r="B2247" s="18" t="s">
        <v>9</v>
      </c>
      <c r="C2247" s="19">
        <f>40451+(3*365)</f>
        <v>41546</v>
      </c>
      <c r="D2247" s="18" t="s">
        <v>80</v>
      </c>
      <c r="E2247" s="18" t="s">
        <v>72</v>
      </c>
      <c r="F2247" s="21">
        <v>2280</v>
      </c>
    </row>
    <row r="2248" spans="2:6" x14ac:dyDescent="0.25">
      <c r="B2248" s="18" t="s">
        <v>8</v>
      </c>
      <c r="C2248" s="19">
        <f>41114+(3*365)</f>
        <v>42209</v>
      </c>
      <c r="D2248" s="18" t="s">
        <v>81</v>
      </c>
      <c r="E2248" s="18" t="s">
        <v>61</v>
      </c>
      <c r="F2248" s="21">
        <v>1100</v>
      </c>
    </row>
    <row r="2249" spans="2:6" x14ac:dyDescent="0.25">
      <c r="B2249" s="18" t="s">
        <v>25</v>
      </c>
      <c r="C2249" s="19">
        <f>40176+(3*365)</f>
        <v>41271</v>
      </c>
      <c r="D2249" s="18" t="s">
        <v>79</v>
      </c>
      <c r="E2249" s="18" t="s">
        <v>75</v>
      </c>
      <c r="F2249" s="21">
        <v>90</v>
      </c>
    </row>
    <row r="2250" spans="2:6" x14ac:dyDescent="0.25">
      <c r="B2250" s="18" t="s">
        <v>8</v>
      </c>
      <c r="C2250" s="19">
        <f>40206+(3*365)</f>
        <v>41301</v>
      </c>
      <c r="D2250" s="18" t="s">
        <v>81</v>
      </c>
      <c r="E2250" s="18" t="s">
        <v>59</v>
      </c>
      <c r="F2250" s="21">
        <v>368</v>
      </c>
    </row>
    <row r="2251" spans="2:6" x14ac:dyDescent="0.25">
      <c r="B2251" s="18" t="s">
        <v>11</v>
      </c>
      <c r="C2251" s="19">
        <f>40185+(3*365)</f>
        <v>41280</v>
      </c>
      <c r="D2251" s="18" t="s">
        <v>74</v>
      </c>
      <c r="E2251" s="18" t="s">
        <v>63</v>
      </c>
      <c r="F2251" s="21">
        <v>99</v>
      </c>
    </row>
    <row r="2252" spans="2:6" x14ac:dyDescent="0.25">
      <c r="B2252" s="18" t="s">
        <v>18</v>
      </c>
      <c r="C2252" s="19">
        <f>40018+(3*365)</f>
        <v>41113</v>
      </c>
      <c r="D2252" s="18" t="s">
        <v>71</v>
      </c>
      <c r="E2252" s="18" t="s">
        <v>64</v>
      </c>
      <c r="F2252" s="21">
        <v>1704</v>
      </c>
    </row>
    <row r="2253" spans="2:6" x14ac:dyDescent="0.25">
      <c r="B2253" s="18" t="s">
        <v>8</v>
      </c>
      <c r="C2253" s="19">
        <f>39924+(3*365)</f>
        <v>41019</v>
      </c>
      <c r="D2253" s="18" t="s">
        <v>81</v>
      </c>
      <c r="E2253" s="18" t="s">
        <v>72</v>
      </c>
      <c r="F2253" s="21">
        <v>945</v>
      </c>
    </row>
    <row r="2254" spans="2:6" x14ac:dyDescent="0.25">
      <c r="B2254" s="18" t="s">
        <v>9</v>
      </c>
      <c r="C2254" s="19">
        <f>40637+(3*365)</f>
        <v>41732</v>
      </c>
      <c r="D2254" s="18" t="s">
        <v>62</v>
      </c>
      <c r="E2254" s="18" t="s">
        <v>61</v>
      </c>
      <c r="F2254" s="21">
        <v>78</v>
      </c>
    </row>
    <row r="2255" spans="2:6" x14ac:dyDescent="0.25">
      <c r="B2255" s="18" t="s">
        <v>9</v>
      </c>
      <c r="C2255" s="19">
        <f>39913+(3*365)</f>
        <v>41008</v>
      </c>
      <c r="D2255" s="18" t="s">
        <v>80</v>
      </c>
      <c r="E2255" s="18" t="s">
        <v>63</v>
      </c>
      <c r="F2255" s="21">
        <v>378</v>
      </c>
    </row>
    <row r="2256" spans="2:6" x14ac:dyDescent="0.25">
      <c r="B2256" s="18" t="s">
        <v>10</v>
      </c>
      <c r="C2256" s="19">
        <f>40192+(3*365)</f>
        <v>41287</v>
      </c>
      <c r="D2256" s="18" t="s">
        <v>67</v>
      </c>
      <c r="E2256" s="18" t="s">
        <v>72</v>
      </c>
      <c r="F2256" s="21">
        <v>576</v>
      </c>
    </row>
    <row r="2257" spans="2:6" x14ac:dyDescent="0.25">
      <c r="B2257" s="18" t="s">
        <v>10</v>
      </c>
      <c r="C2257" s="19">
        <f>40226+(3*365)</f>
        <v>41321</v>
      </c>
      <c r="D2257" s="18" t="s">
        <v>65</v>
      </c>
      <c r="E2257" s="18" t="s">
        <v>75</v>
      </c>
      <c r="F2257" s="21">
        <v>720</v>
      </c>
    </row>
    <row r="2258" spans="2:6" x14ac:dyDescent="0.25">
      <c r="B2258" s="18" t="s">
        <v>8</v>
      </c>
      <c r="C2258" s="19">
        <f>40467+(3*365)</f>
        <v>41562</v>
      </c>
      <c r="D2258" s="18" t="s">
        <v>77</v>
      </c>
      <c r="E2258" s="18" t="s">
        <v>61</v>
      </c>
      <c r="F2258" s="21">
        <v>1216</v>
      </c>
    </row>
    <row r="2259" spans="2:6" x14ac:dyDescent="0.25">
      <c r="B2259" s="18" t="s">
        <v>31</v>
      </c>
      <c r="C2259" s="19">
        <f>40943+(3*365)</f>
        <v>42038</v>
      </c>
      <c r="D2259" s="18" t="s">
        <v>70</v>
      </c>
      <c r="E2259" s="18" t="s">
        <v>59</v>
      </c>
      <c r="F2259" s="21">
        <v>198</v>
      </c>
    </row>
    <row r="2260" spans="2:6" x14ac:dyDescent="0.25">
      <c r="B2260" s="18" t="s">
        <v>18</v>
      </c>
      <c r="C2260" s="19">
        <f>39944+(3*365)</f>
        <v>41039</v>
      </c>
      <c r="D2260" s="18" t="s">
        <v>71</v>
      </c>
      <c r="E2260" s="18" t="s">
        <v>75</v>
      </c>
      <c r="F2260" s="21">
        <v>518</v>
      </c>
    </row>
    <row r="2261" spans="2:6" x14ac:dyDescent="0.25">
      <c r="B2261" s="18" t="s">
        <v>8</v>
      </c>
      <c r="C2261" s="19">
        <f>41131+(3*365)</f>
        <v>42226</v>
      </c>
      <c r="D2261" s="18" t="s">
        <v>77</v>
      </c>
      <c r="E2261" s="18" t="s">
        <v>66</v>
      </c>
      <c r="F2261" s="21">
        <v>1764</v>
      </c>
    </row>
    <row r="2262" spans="2:6" x14ac:dyDescent="0.25">
      <c r="B2262" s="18" t="s">
        <v>21</v>
      </c>
      <c r="C2262" s="19">
        <f>40993+(3*365)</f>
        <v>42088</v>
      </c>
      <c r="D2262" s="18" t="s">
        <v>58</v>
      </c>
      <c r="E2262" s="18" t="s">
        <v>64</v>
      </c>
      <c r="F2262" s="21">
        <v>8568</v>
      </c>
    </row>
    <row r="2263" spans="2:6" x14ac:dyDescent="0.25">
      <c r="B2263" s="18" t="s">
        <v>25</v>
      </c>
      <c r="C2263" s="19">
        <f>40494+(3*365)</f>
        <v>41589</v>
      </c>
      <c r="D2263" s="18" t="s">
        <v>78</v>
      </c>
      <c r="E2263" s="18" t="s">
        <v>64</v>
      </c>
      <c r="F2263" s="21">
        <v>3702</v>
      </c>
    </row>
    <row r="2264" spans="2:6" x14ac:dyDescent="0.25">
      <c r="B2264" s="18" t="s">
        <v>18</v>
      </c>
      <c r="C2264" s="19">
        <f>40263+(3*365)</f>
        <v>41358</v>
      </c>
      <c r="D2264" s="18" t="s">
        <v>68</v>
      </c>
      <c r="E2264" s="18" t="s">
        <v>75</v>
      </c>
      <c r="F2264" s="21">
        <v>117</v>
      </c>
    </row>
    <row r="2265" spans="2:6" x14ac:dyDescent="0.25">
      <c r="B2265" s="18" t="s">
        <v>31</v>
      </c>
      <c r="C2265" s="19">
        <f>40922+(3*365)</f>
        <v>42017</v>
      </c>
      <c r="D2265" s="18" t="s">
        <v>76</v>
      </c>
      <c r="E2265" s="18" t="s">
        <v>72</v>
      </c>
      <c r="F2265" s="21">
        <v>132</v>
      </c>
    </row>
    <row r="2266" spans="2:6" x14ac:dyDescent="0.25">
      <c r="B2266" s="18" t="s">
        <v>18</v>
      </c>
      <c r="C2266" s="19">
        <f>40644+(3*365)</f>
        <v>41739</v>
      </c>
      <c r="D2266" s="18" t="s">
        <v>71</v>
      </c>
      <c r="E2266" s="18" t="s">
        <v>66</v>
      </c>
      <c r="F2266" s="21">
        <v>3204</v>
      </c>
    </row>
    <row r="2267" spans="2:6" x14ac:dyDescent="0.25">
      <c r="B2267" s="18" t="s">
        <v>25</v>
      </c>
      <c r="C2267" s="19">
        <f>41083+(3*365)</f>
        <v>42178</v>
      </c>
      <c r="D2267" s="18" t="s">
        <v>79</v>
      </c>
      <c r="E2267" s="18" t="s">
        <v>64</v>
      </c>
      <c r="F2267" s="21">
        <v>2610</v>
      </c>
    </row>
    <row r="2268" spans="2:6" x14ac:dyDescent="0.25">
      <c r="B2268" s="18" t="s">
        <v>10</v>
      </c>
      <c r="C2268" s="19">
        <f>40254+(3*365)</f>
        <v>41349</v>
      </c>
      <c r="D2268" s="18" t="s">
        <v>67</v>
      </c>
      <c r="E2268" s="18" t="s">
        <v>75</v>
      </c>
      <c r="F2268" s="21">
        <v>99</v>
      </c>
    </row>
    <row r="2269" spans="2:6" x14ac:dyDescent="0.25">
      <c r="B2269" s="18" t="s">
        <v>31</v>
      </c>
      <c r="C2269" s="19">
        <f>40882+(3*365)</f>
        <v>41977</v>
      </c>
      <c r="D2269" s="18" t="s">
        <v>70</v>
      </c>
      <c r="E2269" s="18" t="s">
        <v>69</v>
      </c>
      <c r="F2269" s="21">
        <v>1035</v>
      </c>
    </row>
    <row r="2270" spans="2:6" x14ac:dyDescent="0.25">
      <c r="B2270" s="18" t="s">
        <v>21</v>
      </c>
      <c r="C2270" s="19">
        <f>41211+(3*365)</f>
        <v>42306</v>
      </c>
      <c r="D2270" s="18" t="s">
        <v>58</v>
      </c>
      <c r="E2270" s="18" t="s">
        <v>63</v>
      </c>
      <c r="F2270" s="21">
        <v>944</v>
      </c>
    </row>
    <row r="2271" spans="2:6" x14ac:dyDescent="0.25">
      <c r="B2271" s="18" t="s">
        <v>8</v>
      </c>
      <c r="C2271" s="19">
        <f>40141+(3*365)</f>
        <v>41236</v>
      </c>
      <c r="D2271" s="18" t="s">
        <v>81</v>
      </c>
      <c r="E2271" s="18" t="s">
        <v>69</v>
      </c>
      <c r="F2271" s="21">
        <v>2970</v>
      </c>
    </row>
    <row r="2272" spans="2:6" x14ac:dyDescent="0.25">
      <c r="B2272" s="18" t="s">
        <v>18</v>
      </c>
      <c r="C2272" s="19">
        <f>40888+(3*365)</f>
        <v>41983</v>
      </c>
      <c r="D2272" s="18" t="s">
        <v>71</v>
      </c>
      <c r="E2272" s="18" t="s">
        <v>66</v>
      </c>
      <c r="F2272" s="21">
        <v>1660</v>
      </c>
    </row>
    <row r="2273" spans="2:6" x14ac:dyDescent="0.25">
      <c r="B2273" s="18" t="s">
        <v>9</v>
      </c>
      <c r="C2273" s="19">
        <f>40519+(3*365)</f>
        <v>41614</v>
      </c>
      <c r="D2273" s="18" t="s">
        <v>80</v>
      </c>
      <c r="E2273" s="18" t="s">
        <v>69</v>
      </c>
      <c r="F2273" s="21">
        <v>308</v>
      </c>
    </row>
    <row r="2274" spans="2:6" x14ac:dyDescent="0.25">
      <c r="B2274" s="18" t="s">
        <v>18</v>
      </c>
      <c r="C2274" s="19">
        <f>40386+(3*365)</f>
        <v>41481</v>
      </c>
      <c r="D2274" s="18" t="s">
        <v>68</v>
      </c>
      <c r="E2274" s="18" t="s">
        <v>63</v>
      </c>
      <c r="F2274" s="21">
        <v>525</v>
      </c>
    </row>
    <row r="2275" spans="2:6" x14ac:dyDescent="0.25">
      <c r="B2275" s="18" t="s">
        <v>11</v>
      </c>
      <c r="C2275" s="19">
        <f>40317+(3*365)</f>
        <v>41412</v>
      </c>
      <c r="D2275" s="18" t="s">
        <v>60</v>
      </c>
      <c r="E2275" s="18" t="s">
        <v>59</v>
      </c>
      <c r="F2275" s="21">
        <v>513</v>
      </c>
    </row>
    <row r="2276" spans="2:6" x14ac:dyDescent="0.25">
      <c r="B2276" s="18" t="s">
        <v>18</v>
      </c>
      <c r="C2276" s="19">
        <f>40052+(3*365)</f>
        <v>41147</v>
      </c>
      <c r="D2276" s="18" t="s">
        <v>68</v>
      </c>
      <c r="E2276" s="18" t="s">
        <v>61</v>
      </c>
      <c r="F2276" s="21">
        <v>208</v>
      </c>
    </row>
    <row r="2277" spans="2:6" x14ac:dyDescent="0.25">
      <c r="B2277" s="18" t="s">
        <v>10</v>
      </c>
      <c r="C2277" s="19">
        <f>41003+(3*365)</f>
        <v>42098</v>
      </c>
      <c r="D2277" s="18" t="s">
        <v>67</v>
      </c>
      <c r="E2277" s="18" t="s">
        <v>61</v>
      </c>
      <c r="F2277" s="21">
        <v>1872</v>
      </c>
    </row>
    <row r="2278" spans="2:6" x14ac:dyDescent="0.25">
      <c r="B2278" s="18" t="s">
        <v>18</v>
      </c>
      <c r="C2278" s="19">
        <f>39937+(3*365)</f>
        <v>41032</v>
      </c>
      <c r="D2278" s="18" t="s">
        <v>68</v>
      </c>
      <c r="E2278" s="18" t="s">
        <v>66</v>
      </c>
      <c r="F2278" s="21">
        <v>306</v>
      </c>
    </row>
    <row r="2279" spans="2:6" x14ac:dyDescent="0.25">
      <c r="B2279" s="18" t="s">
        <v>25</v>
      </c>
      <c r="C2279" s="19">
        <f>40891+(3*365)</f>
        <v>41986</v>
      </c>
      <c r="D2279" s="18" t="s">
        <v>78</v>
      </c>
      <c r="E2279" s="18" t="s">
        <v>59</v>
      </c>
      <c r="F2279" s="21">
        <v>612</v>
      </c>
    </row>
    <row r="2280" spans="2:6" x14ac:dyDescent="0.25">
      <c r="B2280" s="18" t="s">
        <v>10</v>
      </c>
      <c r="C2280" s="19">
        <f>41128+(3*365)</f>
        <v>42223</v>
      </c>
      <c r="D2280" s="18" t="s">
        <v>67</v>
      </c>
      <c r="E2280" s="18" t="s">
        <v>66</v>
      </c>
      <c r="F2280" s="21">
        <v>1836</v>
      </c>
    </row>
    <row r="2281" spans="2:6" x14ac:dyDescent="0.25">
      <c r="B2281" s="18" t="s">
        <v>8</v>
      </c>
      <c r="C2281" s="19">
        <f>40823+(3*365)</f>
        <v>41918</v>
      </c>
      <c r="D2281" s="18" t="s">
        <v>77</v>
      </c>
      <c r="E2281" s="18" t="s">
        <v>64</v>
      </c>
      <c r="F2281" s="21">
        <v>14928</v>
      </c>
    </row>
    <row r="2282" spans="2:6" x14ac:dyDescent="0.25">
      <c r="B2282" s="18" t="s">
        <v>25</v>
      </c>
      <c r="C2282" s="19">
        <f>40858+(3*365)</f>
        <v>41953</v>
      </c>
      <c r="D2282" s="18" t="s">
        <v>78</v>
      </c>
      <c r="E2282" s="18" t="s">
        <v>63</v>
      </c>
      <c r="F2282" s="21">
        <v>728</v>
      </c>
    </row>
    <row r="2283" spans="2:6" x14ac:dyDescent="0.25">
      <c r="B2283" s="18" t="s">
        <v>21</v>
      </c>
      <c r="C2283" s="19">
        <f>40870+(3*365)</f>
        <v>41965</v>
      </c>
      <c r="D2283" s="18" t="s">
        <v>73</v>
      </c>
      <c r="E2283" s="18" t="s">
        <v>64</v>
      </c>
      <c r="F2283" s="21">
        <v>1698</v>
      </c>
    </row>
    <row r="2284" spans="2:6" x14ac:dyDescent="0.25">
      <c r="B2284" s="18" t="s">
        <v>31</v>
      </c>
      <c r="C2284" s="19">
        <f>41140+(3*365)</f>
        <v>42235</v>
      </c>
      <c r="D2284" s="18" t="s">
        <v>70</v>
      </c>
      <c r="E2284" s="18" t="s">
        <v>66</v>
      </c>
      <c r="F2284" s="21">
        <v>624</v>
      </c>
    </row>
    <row r="2285" spans="2:6" x14ac:dyDescent="0.25">
      <c r="B2285" s="18" t="s">
        <v>10</v>
      </c>
      <c r="C2285" s="19">
        <f>40156+(3*365)</f>
        <v>41251</v>
      </c>
      <c r="D2285" s="18" t="s">
        <v>67</v>
      </c>
      <c r="E2285" s="18" t="s">
        <v>64</v>
      </c>
      <c r="F2285" s="21">
        <v>23400</v>
      </c>
    </row>
    <row r="2286" spans="2:6" x14ac:dyDescent="0.25">
      <c r="B2286" s="18" t="s">
        <v>8</v>
      </c>
      <c r="C2286" s="19">
        <f>39934+(3*365)</f>
        <v>41029</v>
      </c>
      <c r="D2286" s="18" t="s">
        <v>81</v>
      </c>
      <c r="E2286" s="18" t="s">
        <v>75</v>
      </c>
      <c r="F2286" s="21">
        <v>162</v>
      </c>
    </row>
    <row r="2287" spans="2:6" x14ac:dyDescent="0.25">
      <c r="B2287" s="18" t="s">
        <v>8</v>
      </c>
      <c r="C2287" s="19">
        <f>39931+(3*365)</f>
        <v>41026</v>
      </c>
      <c r="D2287" s="18" t="s">
        <v>81</v>
      </c>
      <c r="E2287" s="18" t="s">
        <v>66</v>
      </c>
      <c r="F2287" s="21">
        <v>324</v>
      </c>
    </row>
    <row r="2288" spans="2:6" x14ac:dyDescent="0.25">
      <c r="B2288" s="18" t="s">
        <v>9</v>
      </c>
      <c r="C2288" s="19">
        <f>41194+(3*365)</f>
        <v>42289</v>
      </c>
      <c r="D2288" s="18" t="s">
        <v>80</v>
      </c>
      <c r="E2288" s="18" t="s">
        <v>63</v>
      </c>
      <c r="F2288" s="21">
        <v>448</v>
      </c>
    </row>
    <row r="2289" spans="2:6" x14ac:dyDescent="0.25">
      <c r="B2289" s="18" t="s">
        <v>18</v>
      </c>
      <c r="C2289" s="19">
        <f>41187+(3*365)</f>
        <v>42282</v>
      </c>
      <c r="D2289" s="18" t="s">
        <v>71</v>
      </c>
      <c r="E2289" s="18" t="s">
        <v>61</v>
      </c>
      <c r="F2289" s="21">
        <v>156</v>
      </c>
    </row>
    <row r="2290" spans="2:6" x14ac:dyDescent="0.25">
      <c r="B2290" s="18" t="s">
        <v>31</v>
      </c>
      <c r="C2290" s="19">
        <f>40947+(3*365)</f>
        <v>42042</v>
      </c>
      <c r="D2290" s="18" t="s">
        <v>70</v>
      </c>
      <c r="E2290" s="18" t="s">
        <v>64</v>
      </c>
      <c r="F2290" s="21">
        <v>11952</v>
      </c>
    </row>
    <row r="2291" spans="2:6" x14ac:dyDescent="0.25">
      <c r="B2291" s="18" t="s">
        <v>21</v>
      </c>
      <c r="C2291" s="19">
        <f>40687+(3*365)</f>
        <v>41782</v>
      </c>
      <c r="D2291" s="18" t="s">
        <v>58</v>
      </c>
      <c r="E2291" s="18" t="s">
        <v>63</v>
      </c>
      <c r="F2291" s="21">
        <v>720</v>
      </c>
    </row>
    <row r="2292" spans="2:6" x14ac:dyDescent="0.25">
      <c r="B2292" s="18" t="s">
        <v>10</v>
      </c>
      <c r="C2292" s="19">
        <f>41248+(3*365)</f>
        <v>42343</v>
      </c>
      <c r="D2292" s="18" t="s">
        <v>65</v>
      </c>
      <c r="E2292" s="18" t="s">
        <v>64</v>
      </c>
      <c r="F2292" s="21">
        <v>3636</v>
      </c>
    </row>
    <row r="2293" spans="2:6" x14ac:dyDescent="0.25">
      <c r="B2293" s="18" t="s">
        <v>25</v>
      </c>
      <c r="C2293" s="19">
        <f>40700+(3*365)</f>
        <v>41795</v>
      </c>
      <c r="D2293" s="18" t="s">
        <v>79</v>
      </c>
      <c r="E2293" s="18" t="s">
        <v>59</v>
      </c>
      <c r="F2293" s="21">
        <v>408</v>
      </c>
    </row>
    <row r="2294" spans="2:6" x14ac:dyDescent="0.25">
      <c r="B2294" s="18" t="s">
        <v>31</v>
      </c>
      <c r="C2294" s="19">
        <f>40666+(3*365)</f>
        <v>41761</v>
      </c>
      <c r="D2294" s="18" t="s">
        <v>76</v>
      </c>
      <c r="E2294" s="18" t="s">
        <v>69</v>
      </c>
      <c r="F2294" s="21">
        <v>2472</v>
      </c>
    </row>
    <row r="2295" spans="2:6" x14ac:dyDescent="0.25">
      <c r="B2295" s="18" t="s">
        <v>18</v>
      </c>
      <c r="C2295" s="19">
        <f>40948+(3*365)</f>
        <v>42043</v>
      </c>
      <c r="D2295" s="18" t="s">
        <v>71</v>
      </c>
      <c r="E2295" s="18" t="s">
        <v>66</v>
      </c>
      <c r="F2295" s="21">
        <v>1020</v>
      </c>
    </row>
    <row r="2296" spans="2:6" x14ac:dyDescent="0.25">
      <c r="B2296" s="18" t="s">
        <v>8</v>
      </c>
      <c r="C2296" s="19">
        <f>39981+(3*365)</f>
        <v>41076</v>
      </c>
      <c r="D2296" s="18" t="s">
        <v>81</v>
      </c>
      <c r="E2296" s="18" t="s">
        <v>75</v>
      </c>
      <c r="F2296" s="21">
        <v>918</v>
      </c>
    </row>
    <row r="2297" spans="2:6" x14ac:dyDescent="0.25">
      <c r="B2297" s="18" t="s">
        <v>9</v>
      </c>
      <c r="C2297" s="19">
        <f>40827+(3*365)</f>
        <v>41922</v>
      </c>
      <c r="D2297" s="18" t="s">
        <v>80</v>
      </c>
      <c r="E2297" s="18" t="s">
        <v>59</v>
      </c>
      <c r="F2297" s="21">
        <v>207</v>
      </c>
    </row>
    <row r="2298" spans="2:6" x14ac:dyDescent="0.25">
      <c r="B2298" s="18" t="s">
        <v>9</v>
      </c>
      <c r="C2298" s="19">
        <f>40146+(3*365)</f>
        <v>41241</v>
      </c>
      <c r="D2298" s="18" t="s">
        <v>62</v>
      </c>
      <c r="E2298" s="18" t="s">
        <v>69</v>
      </c>
      <c r="F2298" s="21">
        <v>1652</v>
      </c>
    </row>
    <row r="2299" spans="2:6" x14ac:dyDescent="0.25">
      <c r="B2299" s="18" t="s">
        <v>18</v>
      </c>
      <c r="C2299" s="19">
        <f>40580+(3*365)</f>
        <v>41675</v>
      </c>
      <c r="D2299" s="18" t="s">
        <v>71</v>
      </c>
      <c r="E2299" s="18" t="s">
        <v>66</v>
      </c>
      <c r="F2299" s="21">
        <v>732</v>
      </c>
    </row>
    <row r="2300" spans="2:6" x14ac:dyDescent="0.25">
      <c r="B2300" s="18" t="s">
        <v>31</v>
      </c>
      <c r="C2300" s="19">
        <f>40877+(3*365)</f>
        <v>41972</v>
      </c>
      <c r="D2300" s="18" t="s">
        <v>70</v>
      </c>
      <c r="E2300" s="18" t="s">
        <v>69</v>
      </c>
      <c r="F2300" s="21">
        <v>1656</v>
      </c>
    </row>
    <row r="2301" spans="2:6" x14ac:dyDescent="0.25">
      <c r="B2301" s="18" t="s">
        <v>25</v>
      </c>
      <c r="C2301" s="19">
        <f>40956+(3*365)</f>
        <v>42051</v>
      </c>
      <c r="D2301" s="18" t="s">
        <v>78</v>
      </c>
      <c r="E2301" s="18" t="s">
        <v>72</v>
      </c>
      <c r="F2301" s="21">
        <v>3136</v>
      </c>
    </row>
    <row r="2302" spans="2:6" x14ac:dyDescent="0.25">
      <c r="B2302" s="18" t="s">
        <v>9</v>
      </c>
      <c r="C2302" s="19">
        <f>40063+(3*365)</f>
        <v>41158</v>
      </c>
      <c r="D2302" s="18" t="s">
        <v>80</v>
      </c>
      <c r="E2302" s="18" t="s">
        <v>61</v>
      </c>
      <c r="F2302" s="21">
        <v>944</v>
      </c>
    </row>
    <row r="2303" spans="2:6" x14ac:dyDescent="0.25">
      <c r="B2303" s="18" t="s">
        <v>11</v>
      </c>
      <c r="C2303" s="19">
        <f>39842+(3*365)</f>
        <v>40937</v>
      </c>
      <c r="D2303" s="18" t="s">
        <v>60</v>
      </c>
      <c r="E2303" s="18" t="s">
        <v>75</v>
      </c>
      <c r="F2303" s="21">
        <v>126</v>
      </c>
    </row>
    <row r="2304" spans="2:6" x14ac:dyDescent="0.25">
      <c r="B2304" s="18" t="s">
        <v>18</v>
      </c>
      <c r="C2304" s="19">
        <f>40516+(3*365)</f>
        <v>41611</v>
      </c>
      <c r="D2304" s="18" t="s">
        <v>68</v>
      </c>
      <c r="E2304" s="18" t="s">
        <v>75</v>
      </c>
      <c r="F2304" s="21">
        <v>117</v>
      </c>
    </row>
    <row r="2305" spans="2:6" x14ac:dyDescent="0.25">
      <c r="B2305" s="18" t="s">
        <v>11</v>
      </c>
      <c r="C2305" s="19">
        <f>39871+(3*365)</f>
        <v>40966</v>
      </c>
      <c r="D2305" s="18" t="s">
        <v>60</v>
      </c>
      <c r="E2305" s="18" t="s">
        <v>66</v>
      </c>
      <c r="F2305" s="21">
        <v>648</v>
      </c>
    </row>
    <row r="2306" spans="2:6" x14ac:dyDescent="0.25">
      <c r="B2306" s="18" t="s">
        <v>31</v>
      </c>
      <c r="C2306" s="19">
        <f>40399+(3*365)</f>
        <v>41494</v>
      </c>
      <c r="D2306" s="18" t="s">
        <v>70</v>
      </c>
      <c r="E2306" s="18" t="s">
        <v>59</v>
      </c>
      <c r="F2306" s="21">
        <v>198</v>
      </c>
    </row>
    <row r="2307" spans="2:6" x14ac:dyDescent="0.25">
      <c r="B2307" s="18" t="s">
        <v>11</v>
      </c>
      <c r="C2307" s="19">
        <f>41011+(3*365)</f>
        <v>42106</v>
      </c>
      <c r="D2307" s="18" t="s">
        <v>60</v>
      </c>
      <c r="E2307" s="18" t="s">
        <v>64</v>
      </c>
      <c r="F2307" s="21">
        <v>1556</v>
      </c>
    </row>
    <row r="2308" spans="2:6" x14ac:dyDescent="0.25">
      <c r="B2308" s="18" t="s">
        <v>11</v>
      </c>
      <c r="C2308" s="19">
        <f>40478+(3*365)</f>
        <v>41573</v>
      </c>
      <c r="D2308" s="18" t="s">
        <v>60</v>
      </c>
      <c r="E2308" s="18" t="s">
        <v>66</v>
      </c>
      <c r="F2308" s="21">
        <v>972</v>
      </c>
    </row>
    <row r="2309" spans="2:6" x14ac:dyDescent="0.25">
      <c r="B2309" s="18" t="s">
        <v>25</v>
      </c>
      <c r="C2309" s="19">
        <f>41195+(3*365)</f>
        <v>42290</v>
      </c>
      <c r="D2309" s="18" t="s">
        <v>79</v>
      </c>
      <c r="E2309" s="18" t="s">
        <v>59</v>
      </c>
      <c r="F2309" s="21">
        <v>480</v>
      </c>
    </row>
    <row r="2310" spans="2:6" x14ac:dyDescent="0.25">
      <c r="B2310" s="18" t="s">
        <v>18</v>
      </c>
      <c r="C2310" s="19">
        <f>40810+(3*365)</f>
        <v>41905</v>
      </c>
      <c r="D2310" s="18" t="s">
        <v>68</v>
      </c>
      <c r="E2310" s="18" t="s">
        <v>75</v>
      </c>
      <c r="F2310" s="21">
        <v>1224</v>
      </c>
    </row>
    <row r="2311" spans="2:6" x14ac:dyDescent="0.25">
      <c r="B2311" s="18" t="s">
        <v>9</v>
      </c>
      <c r="C2311" s="19">
        <f>40074+(3*365)</f>
        <v>41169</v>
      </c>
      <c r="D2311" s="18" t="s">
        <v>62</v>
      </c>
      <c r="E2311" s="18" t="s">
        <v>63</v>
      </c>
      <c r="F2311" s="21">
        <v>224</v>
      </c>
    </row>
    <row r="2312" spans="2:6" x14ac:dyDescent="0.25">
      <c r="B2312" s="18" t="s">
        <v>9</v>
      </c>
      <c r="C2312" s="19">
        <f>39836+(3*365)</f>
        <v>40931</v>
      </c>
      <c r="D2312" s="18" t="s">
        <v>80</v>
      </c>
      <c r="E2312" s="18" t="s">
        <v>72</v>
      </c>
      <c r="F2312" s="21">
        <v>1340</v>
      </c>
    </row>
    <row r="2313" spans="2:6" x14ac:dyDescent="0.25">
      <c r="B2313" s="18" t="s">
        <v>25</v>
      </c>
      <c r="C2313" s="19">
        <f>40782+(3*365)</f>
        <v>41877</v>
      </c>
      <c r="D2313" s="18" t="s">
        <v>79</v>
      </c>
      <c r="E2313" s="18" t="s">
        <v>75</v>
      </c>
      <c r="F2313" s="21">
        <v>1024</v>
      </c>
    </row>
    <row r="2314" spans="2:6" x14ac:dyDescent="0.25">
      <c r="B2314" s="18" t="s">
        <v>18</v>
      </c>
      <c r="C2314" s="19">
        <f>39996+(3*365)</f>
        <v>41091</v>
      </c>
      <c r="D2314" s="18" t="s">
        <v>71</v>
      </c>
      <c r="E2314" s="18" t="s">
        <v>64</v>
      </c>
      <c r="F2314" s="21">
        <v>1148</v>
      </c>
    </row>
    <row r="2315" spans="2:6" x14ac:dyDescent="0.25">
      <c r="B2315" s="18" t="s">
        <v>10</v>
      </c>
      <c r="C2315" s="19">
        <f>41106+(3*365)</f>
        <v>42201</v>
      </c>
      <c r="D2315" s="18" t="s">
        <v>67</v>
      </c>
      <c r="E2315" s="18" t="s">
        <v>69</v>
      </c>
      <c r="F2315" s="21">
        <v>2304</v>
      </c>
    </row>
    <row r="2316" spans="2:6" x14ac:dyDescent="0.25">
      <c r="B2316" s="18" t="s">
        <v>10</v>
      </c>
      <c r="C2316" s="19">
        <f>40014+(3*365)</f>
        <v>41109</v>
      </c>
      <c r="D2316" s="18" t="s">
        <v>67</v>
      </c>
      <c r="E2316" s="18" t="s">
        <v>61</v>
      </c>
      <c r="F2316" s="21">
        <v>2528</v>
      </c>
    </row>
    <row r="2317" spans="2:6" x14ac:dyDescent="0.25">
      <c r="B2317" s="18" t="s">
        <v>18</v>
      </c>
      <c r="C2317" s="19">
        <f>40629+(3*365)</f>
        <v>41724</v>
      </c>
      <c r="D2317" s="18" t="s">
        <v>71</v>
      </c>
      <c r="E2317" s="18" t="s">
        <v>61</v>
      </c>
      <c r="F2317" s="21">
        <v>992</v>
      </c>
    </row>
    <row r="2318" spans="2:6" x14ac:dyDescent="0.25">
      <c r="B2318" s="18" t="s">
        <v>21</v>
      </c>
      <c r="C2318" s="19">
        <f>40874+(3*365)</f>
        <v>41969</v>
      </c>
      <c r="D2318" s="18" t="s">
        <v>58</v>
      </c>
      <c r="E2318" s="18" t="s">
        <v>64</v>
      </c>
      <c r="F2318" s="21">
        <v>9180</v>
      </c>
    </row>
    <row r="2319" spans="2:6" x14ac:dyDescent="0.25">
      <c r="B2319" s="18" t="s">
        <v>31</v>
      </c>
      <c r="C2319" s="19">
        <f>40770+(3*365)</f>
        <v>41865</v>
      </c>
      <c r="D2319" s="18" t="s">
        <v>70</v>
      </c>
      <c r="E2319" s="18" t="s">
        <v>66</v>
      </c>
      <c r="F2319" s="21">
        <v>558</v>
      </c>
    </row>
    <row r="2320" spans="2:6" x14ac:dyDescent="0.25">
      <c r="B2320" s="18" t="s">
        <v>8</v>
      </c>
      <c r="C2320" s="19">
        <f>41121+(3*365)</f>
        <v>42216</v>
      </c>
      <c r="D2320" s="18" t="s">
        <v>81</v>
      </c>
      <c r="E2320" s="18" t="s">
        <v>69</v>
      </c>
      <c r="F2320" s="21">
        <v>6264</v>
      </c>
    </row>
    <row r="2321" spans="2:6" x14ac:dyDescent="0.25">
      <c r="B2321" s="18" t="s">
        <v>9</v>
      </c>
      <c r="C2321" s="19">
        <f>40395+(3*365)</f>
        <v>41490</v>
      </c>
      <c r="D2321" s="18" t="s">
        <v>62</v>
      </c>
      <c r="E2321" s="18" t="s">
        <v>63</v>
      </c>
      <c r="F2321" s="21">
        <v>570</v>
      </c>
    </row>
    <row r="2322" spans="2:6" x14ac:dyDescent="0.25">
      <c r="B2322" s="18" t="s">
        <v>10</v>
      </c>
      <c r="C2322" s="19">
        <f>40260+(3*365)</f>
        <v>41355</v>
      </c>
      <c r="D2322" s="18" t="s">
        <v>67</v>
      </c>
      <c r="E2322" s="18" t="s">
        <v>61</v>
      </c>
      <c r="F2322" s="21">
        <v>114</v>
      </c>
    </row>
    <row r="2323" spans="2:6" x14ac:dyDescent="0.25">
      <c r="B2323" s="18" t="s">
        <v>10</v>
      </c>
      <c r="C2323" s="19">
        <f>39845+(3*365)</f>
        <v>40940</v>
      </c>
      <c r="D2323" s="18" t="s">
        <v>67</v>
      </c>
      <c r="E2323" s="18" t="s">
        <v>66</v>
      </c>
      <c r="F2323" s="21">
        <v>220</v>
      </c>
    </row>
    <row r="2324" spans="2:6" x14ac:dyDescent="0.25">
      <c r="B2324" s="18" t="s">
        <v>11</v>
      </c>
      <c r="C2324" s="19">
        <f>40954+(3*365)</f>
        <v>42049</v>
      </c>
      <c r="D2324" s="18" t="s">
        <v>60</v>
      </c>
      <c r="E2324" s="18" t="s">
        <v>72</v>
      </c>
      <c r="F2324" s="21">
        <v>7588</v>
      </c>
    </row>
    <row r="2325" spans="2:6" x14ac:dyDescent="0.25">
      <c r="B2325" s="18" t="s">
        <v>10</v>
      </c>
      <c r="C2325" s="19">
        <f>40256+(3*365)</f>
        <v>41351</v>
      </c>
      <c r="D2325" s="18" t="s">
        <v>67</v>
      </c>
      <c r="E2325" s="18" t="s">
        <v>75</v>
      </c>
      <c r="F2325" s="21">
        <v>78</v>
      </c>
    </row>
    <row r="2326" spans="2:6" x14ac:dyDescent="0.25">
      <c r="B2326" s="18" t="s">
        <v>21</v>
      </c>
      <c r="C2326" s="19">
        <f>40361+(3*365)</f>
        <v>41456</v>
      </c>
      <c r="D2326" s="18" t="s">
        <v>73</v>
      </c>
      <c r="E2326" s="18" t="s">
        <v>72</v>
      </c>
      <c r="F2326" s="21">
        <v>2178</v>
      </c>
    </row>
    <row r="2327" spans="2:6" x14ac:dyDescent="0.25">
      <c r="B2327" s="18" t="s">
        <v>21</v>
      </c>
      <c r="C2327" s="19">
        <f>41225+(3*365)</f>
        <v>42320</v>
      </c>
      <c r="D2327" s="18" t="s">
        <v>73</v>
      </c>
      <c r="E2327" s="18" t="s">
        <v>64</v>
      </c>
      <c r="F2327" s="21">
        <v>10872</v>
      </c>
    </row>
    <row r="2328" spans="2:6" x14ac:dyDescent="0.25">
      <c r="B2328" s="18" t="s">
        <v>11</v>
      </c>
      <c r="C2328" s="19">
        <f>40375+(3*365)</f>
        <v>41470</v>
      </c>
      <c r="D2328" s="18" t="s">
        <v>74</v>
      </c>
      <c r="E2328" s="18" t="s">
        <v>61</v>
      </c>
      <c r="F2328" s="21">
        <v>114</v>
      </c>
    </row>
    <row r="2329" spans="2:6" x14ac:dyDescent="0.25">
      <c r="B2329" s="18" t="s">
        <v>31</v>
      </c>
      <c r="C2329" s="19">
        <f>40081+(3*365)</f>
        <v>41176</v>
      </c>
      <c r="D2329" s="18" t="s">
        <v>76</v>
      </c>
      <c r="E2329" s="18" t="s">
        <v>59</v>
      </c>
      <c r="F2329" s="21">
        <v>720</v>
      </c>
    </row>
    <row r="2330" spans="2:6" x14ac:dyDescent="0.25">
      <c r="B2330" s="18" t="s">
        <v>8</v>
      </c>
      <c r="C2330" s="19">
        <f>40210+(3*365)</f>
        <v>41305</v>
      </c>
      <c r="D2330" s="18" t="s">
        <v>81</v>
      </c>
      <c r="E2330" s="18" t="s">
        <v>64</v>
      </c>
      <c r="F2330" s="21">
        <v>2752</v>
      </c>
    </row>
    <row r="2331" spans="2:6" x14ac:dyDescent="0.25">
      <c r="B2331" s="18" t="s">
        <v>18</v>
      </c>
      <c r="C2331" s="19">
        <f>40715+(3*365)</f>
        <v>41810</v>
      </c>
      <c r="D2331" s="18" t="s">
        <v>71</v>
      </c>
      <c r="E2331" s="18" t="s">
        <v>64</v>
      </c>
      <c r="F2331" s="21">
        <v>14784</v>
      </c>
    </row>
    <row r="2332" spans="2:6" x14ac:dyDescent="0.25">
      <c r="B2332" s="18" t="s">
        <v>9</v>
      </c>
      <c r="C2332" s="19">
        <f>40273+(3*365)</f>
        <v>41368</v>
      </c>
      <c r="D2332" s="18" t="s">
        <v>80</v>
      </c>
      <c r="E2332" s="18" t="s">
        <v>59</v>
      </c>
      <c r="F2332" s="21">
        <v>48</v>
      </c>
    </row>
    <row r="2333" spans="2:6" x14ac:dyDescent="0.25">
      <c r="B2333" s="18" t="s">
        <v>31</v>
      </c>
      <c r="C2333" s="19">
        <f>39978+(3*365)</f>
        <v>41073</v>
      </c>
      <c r="D2333" s="18" t="s">
        <v>70</v>
      </c>
      <c r="E2333" s="18" t="s">
        <v>59</v>
      </c>
      <c r="F2333" s="21">
        <v>114</v>
      </c>
    </row>
    <row r="2334" spans="2:6" x14ac:dyDescent="0.25">
      <c r="B2334" s="18" t="s">
        <v>8</v>
      </c>
      <c r="C2334" s="19">
        <f>40980+(3*365)</f>
        <v>42075</v>
      </c>
      <c r="D2334" s="18" t="s">
        <v>77</v>
      </c>
      <c r="E2334" s="18" t="s">
        <v>61</v>
      </c>
      <c r="F2334" s="21">
        <v>1480</v>
      </c>
    </row>
    <row r="2335" spans="2:6" x14ac:dyDescent="0.25">
      <c r="B2335" s="18" t="s">
        <v>31</v>
      </c>
      <c r="C2335" s="19">
        <f>41266+(3*365)</f>
        <v>42361</v>
      </c>
      <c r="D2335" s="18" t="s">
        <v>76</v>
      </c>
      <c r="E2335" s="18" t="s">
        <v>59</v>
      </c>
      <c r="F2335" s="21">
        <v>138</v>
      </c>
    </row>
    <row r="2336" spans="2:6" x14ac:dyDescent="0.25">
      <c r="B2336" s="18" t="s">
        <v>25</v>
      </c>
      <c r="C2336" s="19">
        <f>40666+(3*365)</f>
        <v>41761</v>
      </c>
      <c r="D2336" s="18" t="s">
        <v>79</v>
      </c>
      <c r="E2336" s="18" t="s">
        <v>66</v>
      </c>
      <c r="F2336" s="21">
        <v>184</v>
      </c>
    </row>
    <row r="2337" spans="2:6" x14ac:dyDescent="0.25">
      <c r="B2337" s="18" t="s">
        <v>9</v>
      </c>
      <c r="C2337" s="19">
        <f>40692+(3*365)</f>
        <v>41787</v>
      </c>
      <c r="D2337" s="18" t="s">
        <v>62</v>
      </c>
      <c r="E2337" s="18" t="s">
        <v>69</v>
      </c>
      <c r="F2337" s="21">
        <v>3576</v>
      </c>
    </row>
    <row r="2338" spans="2:6" x14ac:dyDescent="0.25">
      <c r="B2338" s="18" t="s">
        <v>31</v>
      </c>
      <c r="C2338" s="19">
        <f>40645+(3*365)</f>
        <v>41740</v>
      </c>
      <c r="D2338" s="18" t="s">
        <v>70</v>
      </c>
      <c r="E2338" s="18" t="s">
        <v>69</v>
      </c>
      <c r="F2338" s="21">
        <v>720</v>
      </c>
    </row>
    <row r="2339" spans="2:6" x14ac:dyDescent="0.25">
      <c r="B2339" s="18" t="s">
        <v>18</v>
      </c>
      <c r="C2339" s="19">
        <f>40986+(3*365)</f>
        <v>42081</v>
      </c>
      <c r="D2339" s="18" t="s">
        <v>68</v>
      </c>
      <c r="E2339" s="18" t="s">
        <v>59</v>
      </c>
      <c r="F2339" s="21">
        <v>336</v>
      </c>
    </row>
    <row r="2340" spans="2:6" x14ac:dyDescent="0.25">
      <c r="B2340" s="18" t="s">
        <v>18</v>
      </c>
      <c r="C2340" s="19">
        <f>41096+(3*365)</f>
        <v>42191</v>
      </c>
      <c r="D2340" s="18" t="s">
        <v>68</v>
      </c>
      <c r="E2340" s="18" t="s">
        <v>75</v>
      </c>
      <c r="F2340" s="21">
        <v>192</v>
      </c>
    </row>
    <row r="2341" spans="2:6" x14ac:dyDescent="0.25">
      <c r="B2341" s="18" t="s">
        <v>8</v>
      </c>
      <c r="C2341" s="19">
        <f>40181+(3*365)</f>
        <v>41276</v>
      </c>
      <c r="D2341" s="18" t="s">
        <v>81</v>
      </c>
      <c r="E2341" s="18" t="s">
        <v>75</v>
      </c>
      <c r="F2341" s="21">
        <v>60</v>
      </c>
    </row>
    <row r="2342" spans="2:6" x14ac:dyDescent="0.25">
      <c r="B2342" s="18" t="s">
        <v>21</v>
      </c>
      <c r="C2342" s="19">
        <f>40435+(3*365)</f>
        <v>41530</v>
      </c>
      <c r="D2342" s="18" t="s">
        <v>73</v>
      </c>
      <c r="E2342" s="18" t="s">
        <v>69</v>
      </c>
      <c r="F2342" s="21">
        <v>1540</v>
      </c>
    </row>
    <row r="2343" spans="2:6" x14ac:dyDescent="0.25">
      <c r="B2343" s="18" t="s">
        <v>10</v>
      </c>
      <c r="C2343" s="19">
        <f>40087+(3*365)</f>
        <v>41182</v>
      </c>
      <c r="D2343" s="18" t="s">
        <v>65</v>
      </c>
      <c r="E2343" s="18" t="s">
        <v>61</v>
      </c>
      <c r="F2343" s="21">
        <v>2080</v>
      </c>
    </row>
    <row r="2344" spans="2:6" x14ac:dyDescent="0.25">
      <c r="B2344" s="18" t="s">
        <v>10</v>
      </c>
      <c r="C2344" s="19">
        <f>40337+(3*365)</f>
        <v>41432</v>
      </c>
      <c r="D2344" s="18" t="s">
        <v>67</v>
      </c>
      <c r="E2344" s="18" t="s">
        <v>72</v>
      </c>
      <c r="F2344" s="21">
        <v>387</v>
      </c>
    </row>
    <row r="2345" spans="2:6" x14ac:dyDescent="0.25">
      <c r="B2345" s="18" t="s">
        <v>18</v>
      </c>
      <c r="C2345" s="19">
        <f>39891+(3*365)</f>
        <v>40986</v>
      </c>
      <c r="D2345" s="18" t="s">
        <v>68</v>
      </c>
      <c r="E2345" s="18" t="s">
        <v>66</v>
      </c>
      <c r="F2345" s="21">
        <v>1148</v>
      </c>
    </row>
    <row r="2346" spans="2:6" x14ac:dyDescent="0.25">
      <c r="B2346" s="18" t="s">
        <v>18</v>
      </c>
      <c r="C2346" s="19">
        <f>40922+(3*365)</f>
        <v>42017</v>
      </c>
      <c r="D2346" s="18" t="s">
        <v>71</v>
      </c>
      <c r="E2346" s="18" t="s">
        <v>64</v>
      </c>
      <c r="F2346" s="21">
        <v>1578</v>
      </c>
    </row>
    <row r="2347" spans="2:6" x14ac:dyDescent="0.25">
      <c r="B2347" s="18" t="s">
        <v>10</v>
      </c>
      <c r="C2347" s="19">
        <f>40951+(3*365)</f>
        <v>42046</v>
      </c>
      <c r="D2347" s="18" t="s">
        <v>67</v>
      </c>
      <c r="E2347" s="18" t="s">
        <v>66</v>
      </c>
      <c r="F2347" s="21">
        <v>531</v>
      </c>
    </row>
    <row r="2348" spans="2:6" x14ac:dyDescent="0.25">
      <c r="B2348" s="18" t="s">
        <v>10</v>
      </c>
      <c r="C2348" s="19">
        <f>41035+(3*365)</f>
        <v>42130</v>
      </c>
      <c r="D2348" s="18" t="s">
        <v>67</v>
      </c>
      <c r="E2348" s="18" t="s">
        <v>72</v>
      </c>
      <c r="F2348" s="21">
        <v>1050</v>
      </c>
    </row>
    <row r="2349" spans="2:6" x14ac:dyDescent="0.25">
      <c r="B2349" s="18" t="s">
        <v>31</v>
      </c>
      <c r="C2349" s="19">
        <f>39914+(3*365)</f>
        <v>41009</v>
      </c>
      <c r="D2349" s="18" t="s">
        <v>76</v>
      </c>
      <c r="E2349" s="18" t="s">
        <v>66</v>
      </c>
      <c r="F2349" s="21">
        <v>1701</v>
      </c>
    </row>
    <row r="2350" spans="2:6" x14ac:dyDescent="0.25">
      <c r="B2350" s="18" t="s">
        <v>31</v>
      </c>
      <c r="C2350" s="19">
        <f>39957+(3*365)</f>
        <v>41052</v>
      </c>
      <c r="D2350" s="18" t="s">
        <v>70</v>
      </c>
      <c r="E2350" s="18" t="s">
        <v>66</v>
      </c>
      <c r="F2350" s="21">
        <v>1134</v>
      </c>
    </row>
    <row r="2351" spans="2:6" x14ac:dyDescent="0.25">
      <c r="B2351" s="18" t="s">
        <v>11</v>
      </c>
      <c r="C2351" s="19">
        <f>40880+(3*365)</f>
        <v>41975</v>
      </c>
      <c r="D2351" s="18" t="s">
        <v>74</v>
      </c>
      <c r="E2351" s="18" t="s">
        <v>64</v>
      </c>
      <c r="F2351" s="21">
        <v>909</v>
      </c>
    </row>
    <row r="2352" spans="2:6" x14ac:dyDescent="0.25">
      <c r="B2352" s="18" t="s">
        <v>8</v>
      </c>
      <c r="C2352" s="19">
        <f>39857+(3*365)</f>
        <v>40952</v>
      </c>
      <c r="D2352" s="18" t="s">
        <v>81</v>
      </c>
      <c r="E2352" s="18" t="s">
        <v>72</v>
      </c>
      <c r="F2352" s="21">
        <v>3084</v>
      </c>
    </row>
    <row r="2353" spans="2:6" x14ac:dyDescent="0.25">
      <c r="B2353" s="18" t="s">
        <v>11</v>
      </c>
      <c r="C2353" s="19">
        <f>39816+(3*365)</f>
        <v>40911</v>
      </c>
      <c r="D2353" s="18" t="s">
        <v>74</v>
      </c>
      <c r="E2353" s="18" t="s">
        <v>69</v>
      </c>
      <c r="F2353" s="21">
        <v>474</v>
      </c>
    </row>
    <row r="2354" spans="2:6" x14ac:dyDescent="0.25">
      <c r="B2354" s="18" t="s">
        <v>21</v>
      </c>
      <c r="C2354" s="19">
        <f>39936+(3*365)</f>
        <v>41031</v>
      </c>
      <c r="D2354" s="18" t="s">
        <v>58</v>
      </c>
      <c r="E2354" s="18" t="s">
        <v>75</v>
      </c>
      <c r="F2354" s="21">
        <v>84</v>
      </c>
    </row>
    <row r="2355" spans="2:6" x14ac:dyDescent="0.25">
      <c r="B2355" s="18" t="s">
        <v>9</v>
      </c>
      <c r="C2355" s="19">
        <f>41267+(3*365)</f>
        <v>42362</v>
      </c>
      <c r="D2355" s="18" t="s">
        <v>62</v>
      </c>
      <c r="E2355" s="18" t="s">
        <v>63</v>
      </c>
      <c r="F2355" s="21">
        <v>126</v>
      </c>
    </row>
    <row r="2356" spans="2:6" x14ac:dyDescent="0.25">
      <c r="B2356" s="18" t="s">
        <v>31</v>
      </c>
      <c r="C2356" s="19">
        <f>40173+(3*365)</f>
        <v>41268</v>
      </c>
      <c r="D2356" s="18" t="s">
        <v>70</v>
      </c>
      <c r="E2356" s="18" t="s">
        <v>66</v>
      </c>
      <c r="F2356" s="21">
        <v>504</v>
      </c>
    </row>
    <row r="2357" spans="2:6" x14ac:dyDescent="0.25">
      <c r="B2357" s="18" t="s">
        <v>9</v>
      </c>
      <c r="C2357" s="19">
        <f>40794+(3*365)</f>
        <v>41889</v>
      </c>
      <c r="D2357" s="18" t="s">
        <v>80</v>
      </c>
      <c r="E2357" s="18" t="s">
        <v>69</v>
      </c>
      <c r="F2357" s="21">
        <v>4248</v>
      </c>
    </row>
    <row r="2358" spans="2:6" x14ac:dyDescent="0.25">
      <c r="B2358" s="18" t="s">
        <v>9</v>
      </c>
      <c r="C2358" s="19">
        <f>39992+(3*365)</f>
        <v>41087</v>
      </c>
      <c r="D2358" s="18" t="s">
        <v>80</v>
      </c>
      <c r="E2358" s="18" t="s">
        <v>64</v>
      </c>
      <c r="F2358" s="21">
        <v>8046</v>
      </c>
    </row>
    <row r="2359" spans="2:6" x14ac:dyDescent="0.25">
      <c r="B2359" s="18" t="s">
        <v>11</v>
      </c>
      <c r="C2359" s="19">
        <f>40555+(3*365)</f>
        <v>41650</v>
      </c>
      <c r="D2359" s="18" t="s">
        <v>74</v>
      </c>
      <c r="E2359" s="18" t="s">
        <v>69</v>
      </c>
      <c r="F2359" s="21">
        <v>1512</v>
      </c>
    </row>
    <row r="2360" spans="2:6" x14ac:dyDescent="0.25">
      <c r="B2360" s="18" t="s">
        <v>11</v>
      </c>
      <c r="C2360" s="19">
        <f>40988+(3*365)</f>
        <v>42083</v>
      </c>
      <c r="D2360" s="18" t="s">
        <v>74</v>
      </c>
      <c r="E2360" s="18" t="s">
        <v>64</v>
      </c>
      <c r="F2360" s="21">
        <v>15624</v>
      </c>
    </row>
    <row r="2361" spans="2:6" x14ac:dyDescent="0.25">
      <c r="B2361" s="18" t="s">
        <v>11</v>
      </c>
      <c r="C2361" s="19">
        <f>41260+(3*365)</f>
        <v>42355</v>
      </c>
      <c r="D2361" s="18" t="s">
        <v>74</v>
      </c>
      <c r="E2361" s="18" t="s">
        <v>59</v>
      </c>
      <c r="F2361" s="21">
        <v>144</v>
      </c>
    </row>
    <row r="2362" spans="2:6" x14ac:dyDescent="0.25">
      <c r="B2362" s="18" t="s">
        <v>21</v>
      </c>
      <c r="C2362" s="19">
        <f>40429+(3*365)</f>
        <v>41524</v>
      </c>
      <c r="D2362" s="18" t="s">
        <v>73</v>
      </c>
      <c r="E2362" s="18" t="s">
        <v>64</v>
      </c>
      <c r="F2362" s="21">
        <v>1992</v>
      </c>
    </row>
    <row r="2363" spans="2:6" x14ac:dyDescent="0.25">
      <c r="B2363" s="18" t="s">
        <v>11</v>
      </c>
      <c r="C2363" s="19">
        <f>40561+(3*365)</f>
        <v>41656</v>
      </c>
      <c r="D2363" s="18" t="s">
        <v>60</v>
      </c>
      <c r="E2363" s="18" t="s">
        <v>69</v>
      </c>
      <c r="F2363" s="21">
        <v>945</v>
      </c>
    </row>
    <row r="2364" spans="2:6" x14ac:dyDescent="0.25">
      <c r="B2364" s="18" t="s">
        <v>18</v>
      </c>
      <c r="C2364" s="19">
        <f>40036+(3*365)</f>
        <v>41131</v>
      </c>
      <c r="D2364" s="18" t="s">
        <v>68</v>
      </c>
      <c r="E2364" s="18" t="s">
        <v>72</v>
      </c>
      <c r="F2364" s="21">
        <v>210</v>
      </c>
    </row>
    <row r="2365" spans="2:6" x14ac:dyDescent="0.25">
      <c r="B2365" s="18" t="s">
        <v>25</v>
      </c>
      <c r="C2365" s="19">
        <f>40172+(3*365)</f>
        <v>41267</v>
      </c>
      <c r="D2365" s="18" t="s">
        <v>79</v>
      </c>
      <c r="E2365" s="18" t="s">
        <v>66</v>
      </c>
      <c r="F2365" s="21">
        <v>812</v>
      </c>
    </row>
    <row r="2366" spans="2:6" x14ac:dyDescent="0.25">
      <c r="B2366" s="18" t="s">
        <v>21</v>
      </c>
      <c r="C2366" s="19">
        <f>40328+(3*365)</f>
        <v>41423</v>
      </c>
      <c r="D2366" s="18" t="s">
        <v>73</v>
      </c>
      <c r="E2366" s="18" t="s">
        <v>69</v>
      </c>
      <c r="F2366" s="21">
        <v>984</v>
      </c>
    </row>
    <row r="2367" spans="2:6" x14ac:dyDescent="0.25">
      <c r="B2367" s="18" t="s">
        <v>25</v>
      </c>
      <c r="C2367" s="19">
        <f>41034+(3*365)</f>
        <v>42129</v>
      </c>
      <c r="D2367" s="18" t="s">
        <v>78</v>
      </c>
      <c r="E2367" s="18" t="s">
        <v>61</v>
      </c>
      <c r="F2367" s="21">
        <v>1036</v>
      </c>
    </row>
    <row r="2368" spans="2:6" x14ac:dyDescent="0.25">
      <c r="B2368" s="18" t="s">
        <v>10</v>
      </c>
      <c r="C2368" s="19">
        <f>41186+(3*365)</f>
        <v>42281</v>
      </c>
      <c r="D2368" s="18" t="s">
        <v>65</v>
      </c>
      <c r="E2368" s="18" t="s">
        <v>75</v>
      </c>
      <c r="F2368" s="21">
        <v>540</v>
      </c>
    </row>
    <row r="2369" spans="2:6" x14ac:dyDescent="0.25">
      <c r="B2369" s="18" t="s">
        <v>9</v>
      </c>
      <c r="C2369" s="19">
        <f>40035+(3*365)</f>
        <v>41130</v>
      </c>
      <c r="D2369" s="18" t="s">
        <v>80</v>
      </c>
      <c r="E2369" s="18" t="s">
        <v>59</v>
      </c>
      <c r="F2369" s="21">
        <v>684</v>
      </c>
    </row>
    <row r="2370" spans="2:6" x14ac:dyDescent="0.25">
      <c r="B2370" s="18" t="s">
        <v>25</v>
      </c>
      <c r="C2370" s="19">
        <f>40882+(3*365)</f>
        <v>41977</v>
      </c>
      <c r="D2370" s="18" t="s">
        <v>78</v>
      </c>
      <c r="E2370" s="18" t="s">
        <v>66</v>
      </c>
      <c r="F2370" s="21">
        <v>1484</v>
      </c>
    </row>
    <row r="2371" spans="2:6" x14ac:dyDescent="0.25">
      <c r="B2371" s="18" t="s">
        <v>21</v>
      </c>
      <c r="C2371" s="19">
        <f>40178+(3*365)</f>
        <v>41273</v>
      </c>
      <c r="D2371" s="18" t="s">
        <v>73</v>
      </c>
      <c r="E2371" s="18" t="s">
        <v>72</v>
      </c>
      <c r="F2371" s="21">
        <v>536</v>
      </c>
    </row>
    <row r="2372" spans="2:6" x14ac:dyDescent="0.25">
      <c r="B2372" s="18" t="s">
        <v>8</v>
      </c>
      <c r="C2372" s="19">
        <f>40670+(3*365)</f>
        <v>41765</v>
      </c>
      <c r="D2372" s="18" t="s">
        <v>77</v>
      </c>
      <c r="E2372" s="18" t="s">
        <v>61</v>
      </c>
      <c r="F2372" s="21">
        <v>924</v>
      </c>
    </row>
    <row r="2373" spans="2:6" x14ac:dyDescent="0.25">
      <c r="B2373" s="18" t="s">
        <v>9</v>
      </c>
      <c r="C2373" s="19">
        <f>40005+(3*365)</f>
        <v>41100</v>
      </c>
      <c r="D2373" s="18" t="s">
        <v>80</v>
      </c>
      <c r="E2373" s="18" t="s">
        <v>66</v>
      </c>
      <c r="F2373" s="21">
        <v>328</v>
      </c>
    </row>
    <row r="2374" spans="2:6" x14ac:dyDescent="0.25">
      <c r="B2374" s="18" t="s">
        <v>8</v>
      </c>
      <c r="C2374" s="19">
        <f>39948+(3*365)</f>
        <v>41043</v>
      </c>
      <c r="D2374" s="18" t="s">
        <v>77</v>
      </c>
      <c r="E2374" s="18" t="s">
        <v>66</v>
      </c>
      <c r="F2374" s="21">
        <v>714</v>
      </c>
    </row>
    <row r="2375" spans="2:6" x14ac:dyDescent="0.25">
      <c r="B2375" s="18" t="s">
        <v>25</v>
      </c>
      <c r="C2375" s="19">
        <f>40694+(3*365)</f>
        <v>41789</v>
      </c>
      <c r="D2375" s="18" t="s">
        <v>78</v>
      </c>
      <c r="E2375" s="18" t="s">
        <v>61</v>
      </c>
      <c r="F2375" s="21">
        <v>264</v>
      </c>
    </row>
    <row r="2376" spans="2:6" x14ac:dyDescent="0.25">
      <c r="B2376" s="18" t="s">
        <v>18</v>
      </c>
      <c r="C2376" s="19">
        <f>40005+(3*365)</f>
        <v>41100</v>
      </c>
      <c r="D2376" s="18" t="s">
        <v>71</v>
      </c>
      <c r="E2376" s="18" t="s">
        <v>59</v>
      </c>
      <c r="F2376" s="21">
        <v>304</v>
      </c>
    </row>
    <row r="2377" spans="2:6" x14ac:dyDescent="0.25">
      <c r="B2377" s="18" t="s">
        <v>10</v>
      </c>
      <c r="C2377" s="19">
        <f>40399+(3*365)</f>
        <v>41494</v>
      </c>
      <c r="D2377" s="18" t="s">
        <v>67</v>
      </c>
      <c r="E2377" s="18" t="s">
        <v>75</v>
      </c>
      <c r="F2377" s="21">
        <v>768</v>
      </c>
    </row>
    <row r="2378" spans="2:6" x14ac:dyDescent="0.25">
      <c r="B2378" s="18" t="s">
        <v>18</v>
      </c>
      <c r="C2378" s="19">
        <f>41229+(3*365)</f>
        <v>42324</v>
      </c>
      <c r="D2378" s="18" t="s">
        <v>68</v>
      </c>
      <c r="E2378" s="18" t="s">
        <v>69</v>
      </c>
      <c r="F2378" s="21">
        <v>288</v>
      </c>
    </row>
    <row r="2379" spans="2:6" x14ac:dyDescent="0.25">
      <c r="B2379" s="18" t="s">
        <v>11</v>
      </c>
      <c r="C2379" s="19">
        <f>40802+(3*365)</f>
        <v>41897</v>
      </c>
      <c r="D2379" s="18" t="s">
        <v>74</v>
      </c>
      <c r="E2379" s="18" t="s">
        <v>61</v>
      </c>
      <c r="F2379" s="21">
        <v>1080</v>
      </c>
    </row>
    <row r="2380" spans="2:6" x14ac:dyDescent="0.25">
      <c r="B2380" s="18" t="s">
        <v>25</v>
      </c>
      <c r="C2380" s="19">
        <f>40410+(3*365)</f>
        <v>41505</v>
      </c>
      <c r="D2380" s="18" t="s">
        <v>79</v>
      </c>
      <c r="E2380" s="18" t="s">
        <v>64</v>
      </c>
      <c r="F2380" s="21">
        <v>6768</v>
      </c>
    </row>
    <row r="2381" spans="2:6" x14ac:dyDescent="0.25">
      <c r="B2381" s="18" t="s">
        <v>31</v>
      </c>
      <c r="C2381" s="19">
        <f>40200+(3*365)</f>
        <v>41295</v>
      </c>
      <c r="D2381" s="18" t="s">
        <v>70</v>
      </c>
      <c r="E2381" s="18" t="s">
        <v>63</v>
      </c>
      <c r="F2381" s="21">
        <v>504</v>
      </c>
    </row>
    <row r="2382" spans="2:6" x14ac:dyDescent="0.25">
      <c r="B2382" s="18" t="s">
        <v>21</v>
      </c>
      <c r="C2382" s="19">
        <f>40198+(3*365)</f>
        <v>41293</v>
      </c>
      <c r="D2382" s="18" t="s">
        <v>73</v>
      </c>
      <c r="E2382" s="18" t="s">
        <v>72</v>
      </c>
      <c r="F2382" s="21">
        <v>3240</v>
      </c>
    </row>
    <row r="2383" spans="2:6" x14ac:dyDescent="0.25">
      <c r="B2383" s="18" t="s">
        <v>25</v>
      </c>
      <c r="C2383" s="19">
        <f>40742+(3*365)</f>
        <v>41837</v>
      </c>
      <c r="D2383" s="18" t="s">
        <v>78</v>
      </c>
      <c r="E2383" s="18" t="s">
        <v>66</v>
      </c>
      <c r="F2383" s="21">
        <v>1656</v>
      </c>
    </row>
    <row r="2384" spans="2:6" x14ac:dyDescent="0.25">
      <c r="B2384" s="18" t="s">
        <v>8</v>
      </c>
      <c r="C2384" s="19">
        <f>40775+(3*365)</f>
        <v>41870</v>
      </c>
      <c r="D2384" s="18" t="s">
        <v>77</v>
      </c>
      <c r="E2384" s="18" t="s">
        <v>72</v>
      </c>
      <c r="F2384" s="21">
        <v>1428</v>
      </c>
    </row>
    <row r="2385" spans="2:6" x14ac:dyDescent="0.25">
      <c r="B2385" s="18" t="s">
        <v>11</v>
      </c>
      <c r="C2385" s="19">
        <f>40073+(3*365)</f>
        <v>41168</v>
      </c>
      <c r="D2385" s="18" t="s">
        <v>74</v>
      </c>
      <c r="E2385" s="18" t="s">
        <v>69</v>
      </c>
      <c r="F2385" s="21">
        <v>387</v>
      </c>
    </row>
    <row r="2386" spans="2:6" x14ac:dyDescent="0.25">
      <c r="B2386" s="18" t="s">
        <v>8</v>
      </c>
      <c r="C2386" s="19">
        <f>40992+(3*365)</f>
        <v>42087</v>
      </c>
      <c r="D2386" s="18" t="s">
        <v>77</v>
      </c>
      <c r="E2386" s="18" t="s">
        <v>75</v>
      </c>
      <c r="F2386" s="21">
        <v>260</v>
      </c>
    </row>
    <row r="2387" spans="2:6" x14ac:dyDescent="0.25">
      <c r="B2387" s="18" t="s">
        <v>21</v>
      </c>
      <c r="C2387" s="19">
        <f>40955+(3*365)</f>
        <v>42050</v>
      </c>
      <c r="D2387" s="18" t="s">
        <v>73</v>
      </c>
      <c r="E2387" s="18" t="s">
        <v>63</v>
      </c>
      <c r="F2387" s="21">
        <v>816</v>
      </c>
    </row>
    <row r="2388" spans="2:6" x14ac:dyDescent="0.25">
      <c r="B2388" s="18" t="s">
        <v>25</v>
      </c>
      <c r="C2388" s="19">
        <f>40556+(3*365)</f>
        <v>41651</v>
      </c>
      <c r="D2388" s="18" t="s">
        <v>78</v>
      </c>
      <c r="E2388" s="18" t="s">
        <v>66</v>
      </c>
      <c r="F2388" s="21">
        <v>328</v>
      </c>
    </row>
    <row r="2389" spans="2:6" x14ac:dyDescent="0.25">
      <c r="B2389" s="18" t="s">
        <v>25</v>
      </c>
      <c r="C2389" s="19">
        <f>39881+(3*365)</f>
        <v>40976</v>
      </c>
      <c r="D2389" s="18" t="s">
        <v>78</v>
      </c>
      <c r="E2389" s="18" t="s">
        <v>66</v>
      </c>
      <c r="F2389" s="21">
        <v>270</v>
      </c>
    </row>
    <row r="2390" spans="2:6" x14ac:dyDescent="0.25">
      <c r="B2390" s="18" t="s">
        <v>10</v>
      </c>
      <c r="C2390" s="19">
        <f>40247+(3*365)</f>
        <v>41342</v>
      </c>
      <c r="D2390" s="18" t="s">
        <v>67</v>
      </c>
      <c r="E2390" s="18" t="s">
        <v>64</v>
      </c>
      <c r="F2390" s="21">
        <v>9891</v>
      </c>
    </row>
    <row r="2391" spans="2:6" x14ac:dyDescent="0.25">
      <c r="B2391" s="18" t="s">
        <v>31</v>
      </c>
      <c r="C2391" s="19">
        <f>39949+(3*365)</f>
        <v>41044</v>
      </c>
      <c r="D2391" s="18" t="s">
        <v>76</v>
      </c>
      <c r="E2391" s="18" t="s">
        <v>59</v>
      </c>
      <c r="F2391" s="21">
        <v>222</v>
      </c>
    </row>
    <row r="2392" spans="2:6" x14ac:dyDescent="0.25">
      <c r="B2392" s="18" t="s">
        <v>10</v>
      </c>
      <c r="C2392" s="19">
        <f>40192+(3*365)</f>
        <v>41287</v>
      </c>
      <c r="D2392" s="18" t="s">
        <v>65</v>
      </c>
      <c r="E2392" s="18" t="s">
        <v>69</v>
      </c>
      <c r="F2392" s="21">
        <v>750</v>
      </c>
    </row>
    <row r="2393" spans="2:6" x14ac:dyDescent="0.25">
      <c r="B2393" s="18" t="s">
        <v>21</v>
      </c>
      <c r="C2393" s="19">
        <f>41214+(3*365)</f>
        <v>42309</v>
      </c>
      <c r="D2393" s="18" t="s">
        <v>73</v>
      </c>
      <c r="E2393" s="18" t="s">
        <v>61</v>
      </c>
      <c r="F2393" s="21">
        <v>660</v>
      </c>
    </row>
    <row r="2394" spans="2:6" x14ac:dyDescent="0.25">
      <c r="B2394" s="18" t="s">
        <v>9</v>
      </c>
      <c r="C2394" s="19">
        <f>40832+(3*365)</f>
        <v>41927</v>
      </c>
      <c r="D2394" s="18" t="s">
        <v>80</v>
      </c>
      <c r="E2394" s="18" t="s">
        <v>72</v>
      </c>
      <c r="F2394" s="21">
        <v>3912</v>
      </c>
    </row>
    <row r="2395" spans="2:6" x14ac:dyDescent="0.25">
      <c r="B2395" s="18" t="s">
        <v>8</v>
      </c>
      <c r="C2395" s="19">
        <f>40166+(3*365)</f>
        <v>41261</v>
      </c>
      <c r="D2395" s="18" t="s">
        <v>81</v>
      </c>
      <c r="E2395" s="18" t="s">
        <v>69</v>
      </c>
      <c r="F2395" s="21">
        <v>765</v>
      </c>
    </row>
    <row r="2396" spans="2:6" x14ac:dyDescent="0.25">
      <c r="B2396" s="18" t="s">
        <v>25</v>
      </c>
      <c r="C2396" s="19">
        <f>41231+(3*365)</f>
        <v>42326</v>
      </c>
      <c r="D2396" s="18" t="s">
        <v>78</v>
      </c>
      <c r="E2396" s="18" t="s">
        <v>72</v>
      </c>
      <c r="F2396" s="21">
        <v>210</v>
      </c>
    </row>
    <row r="2397" spans="2:6" x14ac:dyDescent="0.25">
      <c r="B2397" s="18" t="s">
        <v>25</v>
      </c>
      <c r="C2397" s="19">
        <f>40697+(3*365)</f>
        <v>41792</v>
      </c>
      <c r="D2397" s="18" t="s">
        <v>78</v>
      </c>
      <c r="E2397" s="18" t="s">
        <v>66</v>
      </c>
      <c r="F2397" s="21">
        <v>332</v>
      </c>
    </row>
    <row r="2398" spans="2:6" x14ac:dyDescent="0.25">
      <c r="B2398" s="18" t="s">
        <v>8</v>
      </c>
      <c r="C2398" s="19">
        <f>40305+(3*365)</f>
        <v>41400</v>
      </c>
      <c r="D2398" s="18" t="s">
        <v>81</v>
      </c>
      <c r="E2398" s="18" t="s">
        <v>66</v>
      </c>
      <c r="F2398" s="21">
        <v>336</v>
      </c>
    </row>
    <row r="2399" spans="2:6" x14ac:dyDescent="0.25">
      <c r="B2399" s="18" t="s">
        <v>9</v>
      </c>
      <c r="C2399" s="19">
        <f>40951+(3*365)</f>
        <v>42046</v>
      </c>
      <c r="D2399" s="18" t="s">
        <v>62</v>
      </c>
      <c r="E2399" s="18" t="s">
        <v>75</v>
      </c>
      <c r="F2399" s="21">
        <v>66</v>
      </c>
    </row>
    <row r="2400" spans="2:6" x14ac:dyDescent="0.25">
      <c r="B2400" s="18" t="s">
        <v>25</v>
      </c>
      <c r="C2400" s="19">
        <f>40400+(3*365)</f>
        <v>41495</v>
      </c>
      <c r="D2400" s="18" t="s">
        <v>78</v>
      </c>
      <c r="E2400" s="18" t="s">
        <v>72</v>
      </c>
      <c r="F2400" s="21">
        <v>5943</v>
      </c>
    </row>
    <row r="2401" spans="2:6" x14ac:dyDescent="0.25">
      <c r="B2401" s="18" t="s">
        <v>18</v>
      </c>
      <c r="C2401" s="19">
        <f>40435+(3*365)</f>
        <v>41530</v>
      </c>
      <c r="D2401" s="18" t="s">
        <v>71</v>
      </c>
      <c r="E2401" s="18" t="s">
        <v>69</v>
      </c>
      <c r="F2401" s="21">
        <v>2670</v>
      </c>
    </row>
    <row r="2402" spans="2:6" x14ac:dyDescent="0.25">
      <c r="B2402" s="18" t="s">
        <v>31</v>
      </c>
      <c r="C2402" s="19">
        <f>41241+(3*365)</f>
        <v>42336</v>
      </c>
      <c r="D2402" s="18" t="s">
        <v>76</v>
      </c>
      <c r="E2402" s="18" t="s">
        <v>61</v>
      </c>
      <c r="F2402" s="21">
        <v>204</v>
      </c>
    </row>
    <row r="2403" spans="2:6" x14ac:dyDescent="0.25">
      <c r="B2403" s="18" t="s">
        <v>8</v>
      </c>
      <c r="C2403" s="19">
        <f>41012+(3*365)</f>
        <v>42107</v>
      </c>
      <c r="D2403" s="18" t="s">
        <v>81</v>
      </c>
      <c r="E2403" s="18" t="s">
        <v>64</v>
      </c>
      <c r="F2403" s="21">
        <v>1308</v>
      </c>
    </row>
    <row r="2404" spans="2:6" x14ac:dyDescent="0.25">
      <c r="B2404" s="18" t="s">
        <v>11</v>
      </c>
      <c r="C2404" s="19">
        <f>40292+(3*365)</f>
        <v>41387</v>
      </c>
      <c r="D2404" s="18" t="s">
        <v>74</v>
      </c>
      <c r="E2404" s="18" t="s">
        <v>69</v>
      </c>
      <c r="F2404" s="21">
        <v>4008</v>
      </c>
    </row>
    <row r="2405" spans="2:6" x14ac:dyDescent="0.25">
      <c r="B2405" s="18" t="s">
        <v>31</v>
      </c>
      <c r="C2405" s="19">
        <f>40064+(3*365)</f>
        <v>41159</v>
      </c>
      <c r="D2405" s="18" t="s">
        <v>70</v>
      </c>
      <c r="E2405" s="18" t="s">
        <v>66</v>
      </c>
      <c r="F2405" s="21">
        <v>141</v>
      </c>
    </row>
    <row r="2406" spans="2:6" x14ac:dyDescent="0.25">
      <c r="B2406" s="18" t="s">
        <v>11</v>
      </c>
      <c r="C2406" s="19">
        <f>41002+(3*365)</f>
        <v>42097</v>
      </c>
      <c r="D2406" s="18" t="s">
        <v>60</v>
      </c>
      <c r="E2406" s="18" t="s">
        <v>66</v>
      </c>
      <c r="F2406" s="21">
        <v>936</v>
      </c>
    </row>
    <row r="2407" spans="2:6" x14ac:dyDescent="0.25">
      <c r="B2407" s="18" t="s">
        <v>11</v>
      </c>
      <c r="C2407" s="19">
        <f>40655+(3*365)</f>
        <v>41750</v>
      </c>
      <c r="D2407" s="18" t="s">
        <v>60</v>
      </c>
      <c r="E2407" s="18" t="s">
        <v>69</v>
      </c>
      <c r="F2407" s="21">
        <v>270</v>
      </c>
    </row>
    <row r="2408" spans="2:6" x14ac:dyDescent="0.25">
      <c r="B2408" s="18" t="s">
        <v>31</v>
      </c>
      <c r="C2408" s="19">
        <f>41071+(3*365)</f>
        <v>42166</v>
      </c>
      <c r="D2408" s="18" t="s">
        <v>70</v>
      </c>
      <c r="E2408" s="18" t="s">
        <v>69</v>
      </c>
      <c r="F2408" s="21">
        <v>2592</v>
      </c>
    </row>
    <row r="2409" spans="2:6" x14ac:dyDescent="0.25">
      <c r="B2409" s="18" t="s">
        <v>21</v>
      </c>
      <c r="C2409" s="19">
        <f>40202+(3*365)</f>
        <v>41297</v>
      </c>
      <c r="D2409" s="18" t="s">
        <v>58</v>
      </c>
      <c r="E2409" s="18" t="s">
        <v>66</v>
      </c>
      <c r="F2409" s="21">
        <v>62</v>
      </c>
    </row>
    <row r="2410" spans="2:6" x14ac:dyDescent="0.25">
      <c r="B2410" s="18" t="s">
        <v>18</v>
      </c>
      <c r="C2410" s="19">
        <f>40204+(3*365)</f>
        <v>41299</v>
      </c>
      <c r="D2410" s="18" t="s">
        <v>71</v>
      </c>
      <c r="E2410" s="18" t="s">
        <v>66</v>
      </c>
      <c r="F2410" s="21">
        <v>1944</v>
      </c>
    </row>
    <row r="2411" spans="2:6" x14ac:dyDescent="0.25">
      <c r="B2411" s="18" t="s">
        <v>31</v>
      </c>
      <c r="C2411" s="19">
        <f>40930+(3*365)</f>
        <v>42025</v>
      </c>
      <c r="D2411" s="18" t="s">
        <v>76</v>
      </c>
      <c r="E2411" s="18" t="s">
        <v>63</v>
      </c>
      <c r="F2411" s="21">
        <v>384</v>
      </c>
    </row>
    <row r="2412" spans="2:6" x14ac:dyDescent="0.25">
      <c r="B2412" s="18" t="s">
        <v>10</v>
      </c>
      <c r="C2412" s="19">
        <f>40856+(3*365)</f>
        <v>41951</v>
      </c>
      <c r="D2412" s="18" t="s">
        <v>65</v>
      </c>
      <c r="E2412" s="18" t="s">
        <v>59</v>
      </c>
      <c r="F2412" s="21">
        <v>448</v>
      </c>
    </row>
    <row r="2413" spans="2:6" x14ac:dyDescent="0.25">
      <c r="B2413" s="18" t="s">
        <v>10</v>
      </c>
      <c r="C2413" s="19">
        <f>39822+(3*365)</f>
        <v>40917</v>
      </c>
      <c r="D2413" s="18" t="s">
        <v>67</v>
      </c>
      <c r="E2413" s="18" t="s">
        <v>63</v>
      </c>
      <c r="F2413" s="21">
        <v>1944</v>
      </c>
    </row>
    <row r="2414" spans="2:6" x14ac:dyDescent="0.25">
      <c r="B2414" s="18" t="s">
        <v>21</v>
      </c>
      <c r="C2414" s="19">
        <f>40326+(3*365)</f>
        <v>41421</v>
      </c>
      <c r="D2414" s="18" t="s">
        <v>73</v>
      </c>
      <c r="E2414" s="18" t="s">
        <v>59</v>
      </c>
      <c r="F2414" s="21">
        <v>594</v>
      </c>
    </row>
    <row r="2415" spans="2:6" x14ac:dyDescent="0.25">
      <c r="B2415" s="18" t="s">
        <v>9</v>
      </c>
      <c r="C2415" s="19">
        <f>41258+(3*365)</f>
        <v>42353</v>
      </c>
      <c r="D2415" s="18" t="s">
        <v>80</v>
      </c>
      <c r="E2415" s="18" t="s">
        <v>63</v>
      </c>
      <c r="F2415" s="21">
        <v>180</v>
      </c>
    </row>
    <row r="2416" spans="2:6" x14ac:dyDescent="0.25">
      <c r="B2416" s="18" t="s">
        <v>21</v>
      </c>
      <c r="C2416" s="19">
        <f>40657+(3*365)</f>
        <v>41752</v>
      </c>
      <c r="D2416" s="18" t="s">
        <v>73</v>
      </c>
      <c r="E2416" s="18" t="s">
        <v>75</v>
      </c>
      <c r="F2416" s="21">
        <v>414</v>
      </c>
    </row>
    <row r="2417" spans="2:6" x14ac:dyDescent="0.25">
      <c r="B2417" s="18" t="s">
        <v>9</v>
      </c>
      <c r="C2417" s="19">
        <f>39815+(3*365)</f>
        <v>40910</v>
      </c>
      <c r="D2417" s="18" t="s">
        <v>62</v>
      </c>
      <c r="E2417" s="18" t="s">
        <v>66</v>
      </c>
      <c r="F2417" s="21">
        <v>240</v>
      </c>
    </row>
    <row r="2418" spans="2:6" x14ac:dyDescent="0.25">
      <c r="B2418" s="18" t="s">
        <v>21</v>
      </c>
      <c r="C2418" s="19">
        <f>39818+(3*365)</f>
        <v>40913</v>
      </c>
      <c r="D2418" s="18" t="s">
        <v>58</v>
      </c>
      <c r="E2418" s="18" t="s">
        <v>72</v>
      </c>
      <c r="F2418" s="21">
        <v>1169</v>
      </c>
    </row>
    <row r="2419" spans="2:6" x14ac:dyDescent="0.25">
      <c r="B2419" s="18" t="s">
        <v>8</v>
      </c>
      <c r="C2419" s="19">
        <f>40756+(3*365)</f>
        <v>41851</v>
      </c>
      <c r="D2419" s="18" t="s">
        <v>77</v>
      </c>
      <c r="E2419" s="18" t="s">
        <v>59</v>
      </c>
      <c r="F2419" s="21">
        <v>352</v>
      </c>
    </row>
    <row r="2420" spans="2:6" x14ac:dyDescent="0.25">
      <c r="B2420" s="18" t="s">
        <v>18</v>
      </c>
      <c r="C2420" s="19">
        <f>40799+(3*365)</f>
        <v>41894</v>
      </c>
      <c r="D2420" s="18" t="s">
        <v>71</v>
      </c>
      <c r="E2420" s="18" t="s">
        <v>75</v>
      </c>
      <c r="F2420" s="21">
        <v>1188</v>
      </c>
    </row>
    <row r="2421" spans="2:6" x14ac:dyDescent="0.25">
      <c r="B2421" s="18" t="s">
        <v>31</v>
      </c>
      <c r="C2421" s="19">
        <f>40352+(3*365)</f>
        <v>41447</v>
      </c>
      <c r="D2421" s="18" t="s">
        <v>76</v>
      </c>
      <c r="E2421" s="18" t="s">
        <v>66</v>
      </c>
      <c r="F2421" s="21">
        <v>1134</v>
      </c>
    </row>
    <row r="2422" spans="2:6" x14ac:dyDescent="0.25">
      <c r="B2422" s="18" t="s">
        <v>18</v>
      </c>
      <c r="C2422" s="19">
        <f>39964+(3*365)</f>
        <v>41059</v>
      </c>
      <c r="D2422" s="18" t="s">
        <v>71</v>
      </c>
      <c r="E2422" s="18" t="s">
        <v>66</v>
      </c>
      <c r="F2422" s="21">
        <v>450</v>
      </c>
    </row>
    <row r="2423" spans="2:6" x14ac:dyDescent="0.25">
      <c r="B2423" s="18" t="s">
        <v>31</v>
      </c>
      <c r="C2423" s="19">
        <f>41244+(3*365)</f>
        <v>42339</v>
      </c>
      <c r="D2423" s="18" t="s">
        <v>70</v>
      </c>
      <c r="E2423" s="18" t="s">
        <v>59</v>
      </c>
      <c r="F2423" s="21">
        <v>504</v>
      </c>
    </row>
    <row r="2424" spans="2:6" x14ac:dyDescent="0.25">
      <c r="B2424" s="18" t="s">
        <v>11</v>
      </c>
      <c r="C2424" s="19">
        <f>39966+(3*365)</f>
        <v>41061</v>
      </c>
      <c r="D2424" s="18" t="s">
        <v>60</v>
      </c>
      <c r="E2424" s="18" t="s">
        <v>66</v>
      </c>
      <c r="F2424" s="21">
        <v>198</v>
      </c>
    </row>
    <row r="2425" spans="2:6" x14ac:dyDescent="0.25">
      <c r="B2425" s="18" t="s">
        <v>10</v>
      </c>
      <c r="C2425" s="19">
        <f>40303+(3*365)</f>
        <v>41398</v>
      </c>
      <c r="D2425" s="18" t="s">
        <v>67</v>
      </c>
      <c r="E2425" s="18" t="s">
        <v>72</v>
      </c>
      <c r="F2425" s="21">
        <v>2106</v>
      </c>
    </row>
    <row r="2426" spans="2:6" x14ac:dyDescent="0.25">
      <c r="B2426" s="18" t="s">
        <v>8</v>
      </c>
      <c r="C2426" s="19">
        <f>40340+(3*365)</f>
        <v>41435</v>
      </c>
      <c r="D2426" s="18" t="s">
        <v>81</v>
      </c>
      <c r="E2426" s="18" t="s">
        <v>66</v>
      </c>
      <c r="F2426" s="21">
        <v>1008</v>
      </c>
    </row>
    <row r="2427" spans="2:6" x14ac:dyDescent="0.25">
      <c r="B2427" s="18" t="s">
        <v>31</v>
      </c>
      <c r="C2427" s="19">
        <f>40434+(3*365)</f>
        <v>41529</v>
      </c>
      <c r="D2427" s="18" t="s">
        <v>76</v>
      </c>
      <c r="E2427" s="18" t="s">
        <v>61</v>
      </c>
      <c r="F2427" s="21">
        <v>900</v>
      </c>
    </row>
    <row r="2428" spans="2:6" x14ac:dyDescent="0.25">
      <c r="B2428" s="18" t="s">
        <v>11</v>
      </c>
      <c r="C2428" s="19">
        <f>40029+(3*365)</f>
        <v>41124</v>
      </c>
      <c r="D2428" s="18" t="s">
        <v>74</v>
      </c>
      <c r="E2428" s="18" t="s">
        <v>69</v>
      </c>
      <c r="F2428" s="21">
        <v>534</v>
      </c>
    </row>
    <row r="2429" spans="2:6" x14ac:dyDescent="0.25">
      <c r="B2429" s="18" t="s">
        <v>18</v>
      </c>
      <c r="C2429" s="19">
        <f>40183+(3*365)</f>
        <v>41278</v>
      </c>
      <c r="D2429" s="18" t="s">
        <v>71</v>
      </c>
      <c r="E2429" s="18" t="s">
        <v>64</v>
      </c>
      <c r="F2429" s="21">
        <v>5004</v>
      </c>
    </row>
    <row r="2430" spans="2:6" x14ac:dyDescent="0.25">
      <c r="B2430" s="18" t="s">
        <v>25</v>
      </c>
      <c r="C2430" s="19">
        <f>40557+(3*365)</f>
        <v>41652</v>
      </c>
      <c r="D2430" s="18" t="s">
        <v>78</v>
      </c>
      <c r="E2430" s="18" t="s">
        <v>64</v>
      </c>
      <c r="F2430" s="21">
        <v>11024</v>
      </c>
    </row>
    <row r="2431" spans="2:6" x14ac:dyDescent="0.25">
      <c r="B2431" s="18" t="s">
        <v>25</v>
      </c>
      <c r="C2431" s="19">
        <f>40005+(3*365)</f>
        <v>41100</v>
      </c>
      <c r="D2431" s="18" t="s">
        <v>79</v>
      </c>
      <c r="E2431" s="18" t="s">
        <v>69</v>
      </c>
      <c r="F2431" s="21">
        <v>3120</v>
      </c>
    </row>
    <row r="2432" spans="2:6" x14ac:dyDescent="0.25">
      <c r="B2432" s="18" t="s">
        <v>18</v>
      </c>
      <c r="C2432" s="19">
        <f>39822+(3*365)</f>
        <v>40917</v>
      </c>
      <c r="D2432" s="18" t="s">
        <v>71</v>
      </c>
      <c r="E2432" s="18" t="s">
        <v>63</v>
      </c>
      <c r="F2432" s="21">
        <v>900</v>
      </c>
    </row>
    <row r="2433" spans="2:6" x14ac:dyDescent="0.25">
      <c r="B2433" s="18" t="s">
        <v>21</v>
      </c>
      <c r="C2433" s="19">
        <f>39992+(3*365)</f>
        <v>41087</v>
      </c>
      <c r="D2433" s="18" t="s">
        <v>58</v>
      </c>
      <c r="E2433" s="18" t="s">
        <v>72</v>
      </c>
      <c r="F2433" s="21">
        <v>152</v>
      </c>
    </row>
    <row r="2434" spans="2:6" x14ac:dyDescent="0.25">
      <c r="B2434" s="18" t="s">
        <v>21</v>
      </c>
      <c r="C2434" s="19">
        <f>40908+(3*365)</f>
        <v>42003</v>
      </c>
      <c r="D2434" s="18" t="s">
        <v>73</v>
      </c>
      <c r="E2434" s="18" t="s">
        <v>61</v>
      </c>
      <c r="F2434" s="21">
        <v>438</v>
      </c>
    </row>
    <row r="2435" spans="2:6" x14ac:dyDescent="0.25">
      <c r="B2435" s="18" t="s">
        <v>21</v>
      </c>
      <c r="C2435" s="19">
        <f>40193+(3*365)</f>
        <v>41288</v>
      </c>
      <c r="D2435" s="18" t="s">
        <v>58</v>
      </c>
      <c r="E2435" s="18" t="s">
        <v>61</v>
      </c>
      <c r="F2435" s="21">
        <v>504</v>
      </c>
    </row>
    <row r="2436" spans="2:6" x14ac:dyDescent="0.25">
      <c r="B2436" s="18" t="s">
        <v>11</v>
      </c>
      <c r="C2436" s="19">
        <f>41157+(3*365)</f>
        <v>42252</v>
      </c>
      <c r="D2436" s="18" t="s">
        <v>60</v>
      </c>
      <c r="E2436" s="18" t="s">
        <v>63</v>
      </c>
      <c r="F2436" s="21">
        <v>1360</v>
      </c>
    </row>
    <row r="2437" spans="2:6" x14ac:dyDescent="0.25">
      <c r="B2437" s="18" t="s">
        <v>21</v>
      </c>
      <c r="C2437" s="19">
        <f>41153+(3*365)</f>
        <v>42248</v>
      </c>
      <c r="D2437" s="18" t="s">
        <v>73</v>
      </c>
      <c r="E2437" s="18" t="s">
        <v>69</v>
      </c>
      <c r="F2437" s="21">
        <v>6948</v>
      </c>
    </row>
    <row r="2438" spans="2:6" x14ac:dyDescent="0.25">
      <c r="B2438" s="18" t="s">
        <v>8</v>
      </c>
      <c r="C2438" s="19">
        <f>39935+(3*365)</f>
        <v>41030</v>
      </c>
      <c r="D2438" s="18" t="s">
        <v>81</v>
      </c>
      <c r="E2438" s="18" t="s">
        <v>61</v>
      </c>
      <c r="F2438" s="21">
        <v>711</v>
      </c>
    </row>
    <row r="2439" spans="2:6" x14ac:dyDescent="0.25">
      <c r="B2439" s="18" t="s">
        <v>8</v>
      </c>
      <c r="C2439" s="19">
        <f>40071+(3*365)</f>
        <v>41166</v>
      </c>
      <c r="D2439" s="18" t="s">
        <v>77</v>
      </c>
      <c r="E2439" s="18" t="s">
        <v>75</v>
      </c>
      <c r="F2439" s="21">
        <v>144</v>
      </c>
    </row>
    <row r="2440" spans="2:6" x14ac:dyDescent="0.25">
      <c r="B2440" s="18" t="s">
        <v>31</v>
      </c>
      <c r="C2440" s="19">
        <f>39920+(3*365)</f>
        <v>41015</v>
      </c>
      <c r="D2440" s="18" t="s">
        <v>70</v>
      </c>
      <c r="E2440" s="18" t="s">
        <v>59</v>
      </c>
      <c r="F2440" s="21">
        <v>234</v>
      </c>
    </row>
    <row r="2441" spans="2:6" x14ac:dyDescent="0.25">
      <c r="B2441" s="18" t="s">
        <v>25</v>
      </c>
      <c r="C2441" s="19">
        <f>40863+(3*365)</f>
        <v>41958</v>
      </c>
      <c r="D2441" s="18" t="s">
        <v>78</v>
      </c>
      <c r="E2441" s="18" t="s">
        <v>66</v>
      </c>
      <c r="F2441" s="21">
        <v>1120</v>
      </c>
    </row>
    <row r="2442" spans="2:6" x14ac:dyDescent="0.25">
      <c r="B2442" s="18" t="s">
        <v>21</v>
      </c>
      <c r="C2442" s="19">
        <f>40369+(3*365)</f>
        <v>41464</v>
      </c>
      <c r="D2442" s="18" t="s">
        <v>73</v>
      </c>
      <c r="E2442" s="18" t="s">
        <v>75</v>
      </c>
      <c r="F2442" s="21">
        <v>288</v>
      </c>
    </row>
    <row r="2443" spans="2:6" x14ac:dyDescent="0.25">
      <c r="B2443" s="18" t="s">
        <v>31</v>
      </c>
      <c r="C2443" s="19">
        <f>40668+(3*365)</f>
        <v>41763</v>
      </c>
      <c r="D2443" s="18" t="s">
        <v>76</v>
      </c>
      <c r="E2443" s="18" t="s">
        <v>64</v>
      </c>
      <c r="F2443" s="21">
        <v>9963</v>
      </c>
    </row>
    <row r="2444" spans="2:6" x14ac:dyDescent="0.25">
      <c r="B2444" s="18" t="s">
        <v>25</v>
      </c>
      <c r="C2444" s="19">
        <f>40994+(3*365)</f>
        <v>42089</v>
      </c>
      <c r="D2444" s="18" t="s">
        <v>79</v>
      </c>
      <c r="E2444" s="18" t="s">
        <v>69</v>
      </c>
      <c r="F2444" s="21">
        <v>1358</v>
      </c>
    </row>
    <row r="2445" spans="2:6" x14ac:dyDescent="0.25">
      <c r="B2445" s="18" t="s">
        <v>9</v>
      </c>
      <c r="C2445" s="19">
        <f>41053+(3*365)</f>
        <v>42148</v>
      </c>
      <c r="D2445" s="18" t="s">
        <v>80</v>
      </c>
      <c r="E2445" s="18" t="s">
        <v>63</v>
      </c>
      <c r="F2445" s="21">
        <v>322</v>
      </c>
    </row>
    <row r="2446" spans="2:6" x14ac:dyDescent="0.25">
      <c r="B2446" s="18" t="s">
        <v>10</v>
      </c>
      <c r="C2446" s="19">
        <f>40665+(3*365)</f>
        <v>41760</v>
      </c>
      <c r="D2446" s="18" t="s">
        <v>67</v>
      </c>
      <c r="E2446" s="18" t="s">
        <v>63</v>
      </c>
      <c r="F2446" s="21">
        <v>138</v>
      </c>
    </row>
    <row r="2447" spans="2:6" x14ac:dyDescent="0.25">
      <c r="B2447" s="18" t="s">
        <v>18</v>
      </c>
      <c r="C2447" s="19">
        <f>40932+(3*365)</f>
        <v>42027</v>
      </c>
      <c r="D2447" s="18" t="s">
        <v>68</v>
      </c>
      <c r="E2447" s="18" t="s">
        <v>59</v>
      </c>
      <c r="F2447" s="21">
        <v>114</v>
      </c>
    </row>
    <row r="2448" spans="2:6" x14ac:dyDescent="0.25">
      <c r="B2448" s="18" t="s">
        <v>25</v>
      </c>
      <c r="C2448" s="19">
        <f>40235+(3*365)</f>
        <v>41330</v>
      </c>
      <c r="D2448" s="18" t="s">
        <v>79</v>
      </c>
      <c r="E2448" s="18" t="s">
        <v>69</v>
      </c>
      <c r="F2448" s="21">
        <v>3075</v>
      </c>
    </row>
    <row r="2449" spans="2:6" x14ac:dyDescent="0.25">
      <c r="B2449" s="18" t="s">
        <v>11</v>
      </c>
      <c r="C2449" s="19">
        <f>40503+(3*365)</f>
        <v>41598</v>
      </c>
      <c r="D2449" s="18" t="s">
        <v>74</v>
      </c>
      <c r="E2449" s="18" t="s">
        <v>63</v>
      </c>
      <c r="F2449" s="21">
        <v>720</v>
      </c>
    </row>
    <row r="2450" spans="2:6" x14ac:dyDescent="0.25">
      <c r="B2450" s="18" t="s">
        <v>25</v>
      </c>
      <c r="C2450" s="19">
        <f>39970+(3*365)</f>
        <v>41065</v>
      </c>
      <c r="D2450" s="18" t="s">
        <v>78</v>
      </c>
      <c r="E2450" s="18" t="s">
        <v>66</v>
      </c>
      <c r="F2450" s="21">
        <v>1224</v>
      </c>
    </row>
    <row r="2451" spans="2:6" x14ac:dyDescent="0.25">
      <c r="B2451" s="18" t="s">
        <v>21</v>
      </c>
      <c r="C2451" s="19">
        <f>40946+(3*365)</f>
        <v>42041</v>
      </c>
      <c r="D2451" s="18" t="s">
        <v>73</v>
      </c>
      <c r="E2451" s="18" t="s">
        <v>63</v>
      </c>
      <c r="F2451" s="21">
        <v>320</v>
      </c>
    </row>
    <row r="2452" spans="2:6" x14ac:dyDescent="0.25">
      <c r="B2452" s="18" t="s">
        <v>18</v>
      </c>
      <c r="C2452" s="19">
        <f>40611+(3*365)</f>
        <v>41706</v>
      </c>
      <c r="D2452" s="18" t="s">
        <v>68</v>
      </c>
      <c r="E2452" s="18" t="s">
        <v>64</v>
      </c>
      <c r="F2452" s="21">
        <v>3060</v>
      </c>
    </row>
    <row r="2453" spans="2:6" x14ac:dyDescent="0.25">
      <c r="B2453" s="18" t="s">
        <v>25</v>
      </c>
      <c r="C2453" s="19">
        <f>39837+(3*365)</f>
        <v>40932</v>
      </c>
      <c r="D2453" s="18" t="s">
        <v>78</v>
      </c>
      <c r="E2453" s="18" t="s">
        <v>66</v>
      </c>
      <c r="F2453" s="21">
        <v>308</v>
      </c>
    </row>
    <row r="2454" spans="2:6" x14ac:dyDescent="0.25">
      <c r="B2454" s="18" t="s">
        <v>21</v>
      </c>
      <c r="C2454" s="19">
        <f>39816+(3*365)</f>
        <v>40911</v>
      </c>
      <c r="D2454" s="18" t="s">
        <v>73</v>
      </c>
      <c r="E2454" s="18" t="s">
        <v>61</v>
      </c>
      <c r="F2454" s="21">
        <v>300</v>
      </c>
    </row>
    <row r="2455" spans="2:6" x14ac:dyDescent="0.25">
      <c r="B2455" s="18" t="s">
        <v>11</v>
      </c>
      <c r="C2455" s="19">
        <f>40367+(3*365)</f>
        <v>41462</v>
      </c>
      <c r="D2455" s="18" t="s">
        <v>74</v>
      </c>
      <c r="E2455" s="18" t="s">
        <v>75</v>
      </c>
      <c r="F2455" s="21">
        <v>231</v>
      </c>
    </row>
    <row r="2456" spans="2:6" x14ac:dyDescent="0.25">
      <c r="B2456" s="18" t="s">
        <v>21</v>
      </c>
      <c r="C2456" s="19">
        <f>40571+(3*365)</f>
        <v>41666</v>
      </c>
      <c r="D2456" s="18" t="s">
        <v>58</v>
      </c>
      <c r="E2456" s="18" t="s">
        <v>66</v>
      </c>
      <c r="F2456" s="21">
        <v>966</v>
      </c>
    </row>
    <row r="2457" spans="2:6" x14ac:dyDescent="0.25">
      <c r="B2457" s="18" t="s">
        <v>10</v>
      </c>
      <c r="C2457" s="19">
        <f>40869+(3*365)</f>
        <v>41964</v>
      </c>
      <c r="D2457" s="18" t="s">
        <v>67</v>
      </c>
      <c r="E2457" s="18" t="s">
        <v>64</v>
      </c>
      <c r="F2457" s="21">
        <v>5880</v>
      </c>
    </row>
    <row r="2458" spans="2:6" x14ac:dyDescent="0.25">
      <c r="B2458" s="18" t="s">
        <v>21</v>
      </c>
      <c r="C2458" s="19">
        <f>40116+(3*365)</f>
        <v>41211</v>
      </c>
      <c r="D2458" s="18" t="s">
        <v>73</v>
      </c>
      <c r="E2458" s="18" t="s">
        <v>72</v>
      </c>
      <c r="F2458" s="21">
        <v>2538</v>
      </c>
    </row>
    <row r="2459" spans="2:6" x14ac:dyDescent="0.25">
      <c r="B2459" s="18" t="s">
        <v>9</v>
      </c>
      <c r="C2459" s="19">
        <f>39818+(3*365)</f>
        <v>40913</v>
      </c>
      <c r="D2459" s="18" t="s">
        <v>62</v>
      </c>
      <c r="E2459" s="18" t="s">
        <v>75</v>
      </c>
      <c r="F2459" s="21">
        <v>480</v>
      </c>
    </row>
    <row r="2460" spans="2:6" x14ac:dyDescent="0.25">
      <c r="B2460" s="18" t="s">
        <v>21</v>
      </c>
      <c r="C2460" s="19">
        <f>40072+(3*365)</f>
        <v>41167</v>
      </c>
      <c r="D2460" s="18" t="s">
        <v>73</v>
      </c>
      <c r="E2460" s="18" t="s">
        <v>66</v>
      </c>
      <c r="F2460" s="21">
        <v>132</v>
      </c>
    </row>
    <row r="2461" spans="2:6" x14ac:dyDescent="0.25">
      <c r="B2461" s="18" t="s">
        <v>11</v>
      </c>
      <c r="C2461" s="19">
        <f>40485+(3*365)</f>
        <v>41580</v>
      </c>
      <c r="D2461" s="18" t="s">
        <v>60</v>
      </c>
      <c r="E2461" s="18" t="s">
        <v>69</v>
      </c>
      <c r="F2461" s="21">
        <v>792</v>
      </c>
    </row>
    <row r="2462" spans="2:6" x14ac:dyDescent="0.25">
      <c r="B2462" s="18" t="s">
        <v>8</v>
      </c>
      <c r="C2462" s="19">
        <f>40343+(3*365)</f>
        <v>41438</v>
      </c>
      <c r="D2462" s="18" t="s">
        <v>77</v>
      </c>
      <c r="E2462" s="18" t="s">
        <v>63</v>
      </c>
      <c r="F2462" s="21">
        <v>672</v>
      </c>
    </row>
    <row r="2463" spans="2:6" x14ac:dyDescent="0.25">
      <c r="B2463" s="18" t="s">
        <v>31</v>
      </c>
      <c r="C2463" s="19">
        <f>39917+(3*365)</f>
        <v>41012</v>
      </c>
      <c r="D2463" s="18" t="s">
        <v>76</v>
      </c>
      <c r="E2463" s="18" t="s">
        <v>64</v>
      </c>
      <c r="F2463" s="21">
        <v>6540</v>
      </c>
    </row>
    <row r="2464" spans="2:6" x14ac:dyDescent="0.25">
      <c r="B2464" s="18" t="s">
        <v>10</v>
      </c>
      <c r="C2464" s="19">
        <f>40217+(3*365)</f>
        <v>41312</v>
      </c>
      <c r="D2464" s="18" t="s">
        <v>65</v>
      </c>
      <c r="E2464" s="18" t="s">
        <v>64</v>
      </c>
      <c r="F2464" s="21">
        <v>3900</v>
      </c>
    </row>
    <row r="2465" spans="2:6" x14ac:dyDescent="0.25">
      <c r="B2465" s="18" t="s">
        <v>21</v>
      </c>
      <c r="C2465" s="19">
        <f>40698+(3*365)</f>
        <v>41793</v>
      </c>
      <c r="D2465" s="18" t="s">
        <v>58</v>
      </c>
      <c r="E2465" s="18" t="s">
        <v>63</v>
      </c>
      <c r="F2465" s="21">
        <v>486</v>
      </c>
    </row>
    <row r="2466" spans="2:6" x14ac:dyDescent="0.25">
      <c r="B2466" s="18" t="s">
        <v>25</v>
      </c>
      <c r="C2466" s="19">
        <f>40668+(3*365)</f>
        <v>41763</v>
      </c>
      <c r="D2466" s="18" t="s">
        <v>78</v>
      </c>
      <c r="E2466" s="18" t="s">
        <v>63</v>
      </c>
      <c r="F2466" s="21">
        <v>564</v>
      </c>
    </row>
    <row r="2467" spans="2:6" x14ac:dyDescent="0.25">
      <c r="B2467" s="18" t="s">
        <v>11</v>
      </c>
      <c r="C2467" s="19">
        <f>40459+(3*365)</f>
        <v>41554</v>
      </c>
      <c r="D2467" s="18" t="s">
        <v>60</v>
      </c>
      <c r="E2467" s="18" t="s">
        <v>75</v>
      </c>
      <c r="F2467" s="21">
        <v>348</v>
      </c>
    </row>
    <row r="2468" spans="2:6" x14ac:dyDescent="0.25">
      <c r="B2468" s="18" t="s">
        <v>18</v>
      </c>
      <c r="C2468" s="19">
        <f>40090+(3*365)</f>
        <v>41185</v>
      </c>
      <c r="D2468" s="18" t="s">
        <v>68</v>
      </c>
      <c r="E2468" s="18" t="s">
        <v>61</v>
      </c>
      <c r="F2468" s="21">
        <v>408</v>
      </c>
    </row>
    <row r="2469" spans="2:6" x14ac:dyDescent="0.25">
      <c r="B2469" s="18" t="s">
        <v>11</v>
      </c>
      <c r="C2469" s="19">
        <f>40685+(3*365)</f>
        <v>41780</v>
      </c>
      <c r="D2469" s="18" t="s">
        <v>74</v>
      </c>
      <c r="E2469" s="18" t="s">
        <v>61</v>
      </c>
      <c r="F2469" s="21">
        <v>1536</v>
      </c>
    </row>
    <row r="2470" spans="2:6" x14ac:dyDescent="0.25">
      <c r="B2470" s="18" t="s">
        <v>9</v>
      </c>
      <c r="C2470" s="19">
        <f>40235+(3*365)</f>
        <v>41330</v>
      </c>
      <c r="D2470" s="18" t="s">
        <v>62</v>
      </c>
      <c r="E2470" s="18" t="s">
        <v>64</v>
      </c>
      <c r="F2470" s="21">
        <v>1318</v>
      </c>
    </row>
    <row r="2471" spans="2:6" x14ac:dyDescent="0.25">
      <c r="B2471" s="18" t="s">
        <v>21</v>
      </c>
      <c r="C2471" s="19">
        <f>39915+(3*365)</f>
        <v>41010</v>
      </c>
      <c r="D2471" s="18" t="s">
        <v>73</v>
      </c>
      <c r="E2471" s="18" t="s">
        <v>59</v>
      </c>
      <c r="F2471" s="21">
        <v>65</v>
      </c>
    </row>
    <row r="2472" spans="2:6" x14ac:dyDescent="0.25">
      <c r="B2472" s="18" t="s">
        <v>8</v>
      </c>
      <c r="C2472" s="19">
        <f>41196+(3*365)</f>
        <v>42291</v>
      </c>
      <c r="D2472" s="18" t="s">
        <v>77</v>
      </c>
      <c r="E2472" s="18" t="s">
        <v>66</v>
      </c>
      <c r="F2472" s="21">
        <v>188</v>
      </c>
    </row>
    <row r="2473" spans="2:6" x14ac:dyDescent="0.25">
      <c r="B2473" s="18" t="s">
        <v>18</v>
      </c>
      <c r="C2473" s="19">
        <f>39899+(3*365)</f>
        <v>40994</v>
      </c>
      <c r="D2473" s="18" t="s">
        <v>68</v>
      </c>
      <c r="E2473" s="18" t="s">
        <v>61</v>
      </c>
      <c r="F2473" s="21">
        <v>304</v>
      </c>
    </row>
    <row r="2474" spans="2:6" x14ac:dyDescent="0.25">
      <c r="B2474" s="18" t="s">
        <v>8</v>
      </c>
      <c r="C2474" s="19">
        <f>40896+(3*365)</f>
        <v>41991</v>
      </c>
      <c r="D2474" s="18" t="s">
        <v>81</v>
      </c>
      <c r="E2474" s="18" t="s">
        <v>61</v>
      </c>
      <c r="F2474" s="21">
        <v>1160</v>
      </c>
    </row>
    <row r="2475" spans="2:6" x14ac:dyDescent="0.25">
      <c r="B2475" s="18" t="s">
        <v>21</v>
      </c>
      <c r="C2475" s="19">
        <f>41237+(3*365)</f>
        <v>42332</v>
      </c>
      <c r="D2475" s="18" t="s">
        <v>73</v>
      </c>
      <c r="E2475" s="18" t="s">
        <v>64</v>
      </c>
      <c r="F2475" s="21">
        <v>4272</v>
      </c>
    </row>
    <row r="2476" spans="2:6" x14ac:dyDescent="0.25">
      <c r="B2476" s="18" t="s">
        <v>31</v>
      </c>
      <c r="C2476" s="19">
        <f>40801+(3*365)</f>
        <v>41896</v>
      </c>
      <c r="D2476" s="18" t="s">
        <v>70</v>
      </c>
      <c r="E2476" s="18" t="s">
        <v>69</v>
      </c>
      <c r="F2476" s="21">
        <v>333</v>
      </c>
    </row>
    <row r="2477" spans="2:6" x14ac:dyDescent="0.25">
      <c r="B2477" s="18" t="s">
        <v>18</v>
      </c>
      <c r="C2477" s="19">
        <f>41274+(3*365)</f>
        <v>42369</v>
      </c>
      <c r="D2477" s="18" t="s">
        <v>68</v>
      </c>
      <c r="E2477" s="18" t="s">
        <v>69</v>
      </c>
      <c r="F2477" s="21">
        <v>882</v>
      </c>
    </row>
    <row r="2478" spans="2:6" x14ac:dyDescent="0.25">
      <c r="B2478" s="18" t="s">
        <v>25</v>
      </c>
      <c r="C2478" s="19">
        <f>40956+(3*365)</f>
        <v>42051</v>
      </c>
      <c r="D2478" s="18" t="s">
        <v>79</v>
      </c>
      <c r="E2478" s="18" t="s">
        <v>75</v>
      </c>
      <c r="F2478" s="21">
        <v>30</v>
      </c>
    </row>
    <row r="2479" spans="2:6" x14ac:dyDescent="0.25">
      <c r="B2479" s="18" t="s">
        <v>9</v>
      </c>
      <c r="C2479" s="19">
        <f>40887+(3*365)</f>
        <v>41982</v>
      </c>
      <c r="D2479" s="18" t="s">
        <v>80</v>
      </c>
      <c r="E2479" s="18" t="s">
        <v>72</v>
      </c>
      <c r="F2479" s="21">
        <v>1470</v>
      </c>
    </row>
    <row r="2480" spans="2:6" x14ac:dyDescent="0.25">
      <c r="B2480" s="18" t="s">
        <v>11</v>
      </c>
      <c r="C2480" s="19">
        <f>40653+(3*365)</f>
        <v>41748</v>
      </c>
      <c r="D2480" s="18" t="s">
        <v>60</v>
      </c>
      <c r="E2480" s="18" t="s">
        <v>61</v>
      </c>
      <c r="F2480" s="21">
        <v>450</v>
      </c>
    </row>
    <row r="2481" spans="2:6" x14ac:dyDescent="0.25">
      <c r="B2481" s="18" t="s">
        <v>21</v>
      </c>
      <c r="C2481" s="19">
        <f>41030+(3*365)</f>
        <v>42125</v>
      </c>
      <c r="D2481" s="18" t="s">
        <v>73</v>
      </c>
      <c r="E2481" s="18" t="s">
        <v>59</v>
      </c>
      <c r="F2481" s="21">
        <v>280</v>
      </c>
    </row>
    <row r="2482" spans="2:6" x14ac:dyDescent="0.25">
      <c r="B2482" s="18" t="s">
        <v>31</v>
      </c>
      <c r="C2482" s="19">
        <f>40601+(3*365)</f>
        <v>41696</v>
      </c>
      <c r="D2482" s="18" t="s">
        <v>76</v>
      </c>
      <c r="E2482" s="18" t="s">
        <v>63</v>
      </c>
      <c r="F2482" s="21">
        <v>672</v>
      </c>
    </row>
    <row r="2483" spans="2:6" x14ac:dyDescent="0.25">
      <c r="B2483" s="18" t="s">
        <v>8</v>
      </c>
      <c r="C2483" s="19">
        <f>39850+(3*365)</f>
        <v>40945</v>
      </c>
      <c r="D2483" s="18" t="s">
        <v>81</v>
      </c>
      <c r="E2483" s="18" t="s">
        <v>63</v>
      </c>
      <c r="F2483" s="21">
        <v>483</v>
      </c>
    </row>
    <row r="2484" spans="2:6" x14ac:dyDescent="0.25">
      <c r="B2484" s="18" t="s">
        <v>25</v>
      </c>
      <c r="C2484" s="19">
        <f>40974+(3*365)</f>
        <v>42069</v>
      </c>
      <c r="D2484" s="18" t="s">
        <v>78</v>
      </c>
      <c r="E2484" s="18" t="s">
        <v>63</v>
      </c>
      <c r="F2484" s="21">
        <v>532</v>
      </c>
    </row>
    <row r="2485" spans="2:6" x14ac:dyDescent="0.25">
      <c r="B2485" s="18" t="s">
        <v>9</v>
      </c>
      <c r="C2485" s="19">
        <f>40173+(3*365)</f>
        <v>41268</v>
      </c>
      <c r="D2485" s="18" t="s">
        <v>62</v>
      </c>
      <c r="E2485" s="18" t="s">
        <v>66</v>
      </c>
      <c r="F2485" s="21">
        <v>164</v>
      </c>
    </row>
    <row r="2486" spans="2:6" x14ac:dyDescent="0.25">
      <c r="B2486" s="18" t="s">
        <v>10</v>
      </c>
      <c r="C2486" s="19">
        <f>40991+(3*365)</f>
        <v>42086</v>
      </c>
      <c r="D2486" s="18" t="s">
        <v>67</v>
      </c>
      <c r="E2486" s="18" t="s">
        <v>64</v>
      </c>
      <c r="F2486" s="21">
        <v>3978</v>
      </c>
    </row>
    <row r="2487" spans="2:6" x14ac:dyDescent="0.25">
      <c r="B2487" s="18" t="s">
        <v>21</v>
      </c>
      <c r="C2487" s="19">
        <f>40279+(3*365)</f>
        <v>41374</v>
      </c>
      <c r="D2487" s="18" t="s">
        <v>58</v>
      </c>
      <c r="E2487" s="18" t="s">
        <v>61</v>
      </c>
      <c r="F2487" s="21">
        <v>504</v>
      </c>
    </row>
    <row r="2488" spans="2:6" x14ac:dyDescent="0.25">
      <c r="B2488" s="18" t="s">
        <v>10</v>
      </c>
      <c r="C2488" s="19">
        <f>40409+(3*365)</f>
        <v>41504</v>
      </c>
      <c r="D2488" s="18" t="s">
        <v>67</v>
      </c>
      <c r="E2488" s="18" t="s">
        <v>61</v>
      </c>
      <c r="F2488" s="21">
        <v>486</v>
      </c>
    </row>
    <row r="2489" spans="2:6" x14ac:dyDescent="0.25">
      <c r="B2489" s="18" t="s">
        <v>8</v>
      </c>
      <c r="C2489" s="19">
        <f>41093+(3*365)</f>
        <v>42188</v>
      </c>
      <c r="D2489" s="18" t="s">
        <v>81</v>
      </c>
      <c r="E2489" s="18" t="s">
        <v>61</v>
      </c>
      <c r="F2489" s="21">
        <v>2304</v>
      </c>
    </row>
    <row r="2490" spans="2:6" x14ac:dyDescent="0.25">
      <c r="B2490" s="18" t="s">
        <v>10</v>
      </c>
      <c r="C2490" s="19">
        <f>40647+(3*365)</f>
        <v>41742</v>
      </c>
      <c r="D2490" s="18" t="s">
        <v>65</v>
      </c>
      <c r="E2490" s="18" t="s">
        <v>59</v>
      </c>
      <c r="F2490" s="21">
        <v>252</v>
      </c>
    </row>
    <row r="2491" spans="2:6" x14ac:dyDescent="0.25">
      <c r="B2491" s="18" t="s">
        <v>11</v>
      </c>
      <c r="C2491" s="19">
        <f>39844+(3*365)</f>
        <v>40939</v>
      </c>
      <c r="D2491" s="18" t="s">
        <v>60</v>
      </c>
      <c r="E2491" s="18" t="s">
        <v>75</v>
      </c>
      <c r="F2491" s="21">
        <v>270</v>
      </c>
    </row>
    <row r="2492" spans="2:6" x14ac:dyDescent="0.25">
      <c r="B2492" s="18" t="s">
        <v>11</v>
      </c>
      <c r="C2492" s="19">
        <f>40643+(3*365)</f>
        <v>41738</v>
      </c>
      <c r="D2492" s="18" t="s">
        <v>60</v>
      </c>
      <c r="E2492" s="18" t="s">
        <v>72</v>
      </c>
      <c r="F2492" s="21">
        <v>918</v>
      </c>
    </row>
    <row r="2493" spans="2:6" x14ac:dyDescent="0.25">
      <c r="B2493" s="18" t="s">
        <v>11</v>
      </c>
      <c r="C2493" s="19">
        <f>39976+(3*365)</f>
        <v>41071</v>
      </c>
      <c r="D2493" s="18" t="s">
        <v>60</v>
      </c>
      <c r="E2493" s="18" t="s">
        <v>64</v>
      </c>
      <c r="F2493" s="21">
        <v>3534</v>
      </c>
    </row>
    <row r="2494" spans="2:6" x14ac:dyDescent="0.25">
      <c r="B2494" s="18" t="s">
        <v>10</v>
      </c>
      <c r="C2494" s="19">
        <f>40961+(3*365)</f>
        <v>42056</v>
      </c>
      <c r="D2494" s="18" t="s">
        <v>67</v>
      </c>
      <c r="E2494" s="18" t="s">
        <v>75</v>
      </c>
      <c r="F2494" s="21">
        <v>504</v>
      </c>
    </row>
    <row r="2495" spans="2:6" x14ac:dyDescent="0.25">
      <c r="B2495" s="18" t="s">
        <v>25</v>
      </c>
      <c r="C2495" s="19">
        <f>40329+(3*365)</f>
        <v>41424</v>
      </c>
      <c r="D2495" s="18" t="s">
        <v>78</v>
      </c>
      <c r="E2495" s="18" t="s">
        <v>69</v>
      </c>
      <c r="F2495" s="21">
        <v>3696</v>
      </c>
    </row>
    <row r="2496" spans="2:6" x14ac:dyDescent="0.25">
      <c r="B2496" s="18" t="s">
        <v>31</v>
      </c>
      <c r="C2496" s="19">
        <f>41045+(3*365)</f>
        <v>42140</v>
      </c>
      <c r="D2496" s="18" t="s">
        <v>76</v>
      </c>
      <c r="E2496" s="18" t="s">
        <v>66</v>
      </c>
      <c r="F2496" s="21">
        <v>612</v>
      </c>
    </row>
    <row r="2497" spans="2:6" x14ac:dyDescent="0.25">
      <c r="B2497" s="18" t="s">
        <v>31</v>
      </c>
      <c r="C2497" s="19">
        <f>40349+(3*365)</f>
        <v>41444</v>
      </c>
      <c r="D2497" s="18" t="s">
        <v>76</v>
      </c>
      <c r="E2497" s="18" t="s">
        <v>64</v>
      </c>
      <c r="F2497" s="21">
        <v>3087</v>
      </c>
    </row>
    <row r="2498" spans="2:6" x14ac:dyDescent="0.25">
      <c r="B2498" s="18" t="s">
        <v>10</v>
      </c>
      <c r="C2498" s="19">
        <f>40499+(3*365)</f>
        <v>41594</v>
      </c>
      <c r="D2498" s="18" t="s">
        <v>65</v>
      </c>
      <c r="E2498" s="18" t="s">
        <v>66</v>
      </c>
      <c r="F2498" s="21">
        <v>1290</v>
      </c>
    </row>
    <row r="2499" spans="2:6" x14ac:dyDescent="0.25">
      <c r="B2499" s="18" t="s">
        <v>8</v>
      </c>
      <c r="C2499" s="19">
        <f>40701+(3*365)</f>
        <v>41796</v>
      </c>
      <c r="D2499" s="18" t="s">
        <v>81</v>
      </c>
      <c r="E2499" s="18" t="s">
        <v>69</v>
      </c>
      <c r="F2499" s="21">
        <v>1060</v>
      </c>
    </row>
    <row r="2500" spans="2:6" x14ac:dyDescent="0.25">
      <c r="B2500" s="18" t="s">
        <v>21</v>
      </c>
      <c r="C2500" s="19">
        <f>39935+(3*365)</f>
        <v>41030</v>
      </c>
      <c r="D2500" s="18" t="s">
        <v>73</v>
      </c>
      <c r="E2500" s="18" t="s">
        <v>66</v>
      </c>
      <c r="F2500" s="21">
        <v>160</v>
      </c>
    </row>
    <row r="2501" spans="2:6" x14ac:dyDescent="0.25">
      <c r="B2501" s="18" t="s">
        <v>18</v>
      </c>
      <c r="C2501" s="19">
        <f>39864+(3*365)</f>
        <v>40959</v>
      </c>
      <c r="D2501" s="18" t="s">
        <v>68</v>
      </c>
      <c r="E2501" s="18" t="s">
        <v>72</v>
      </c>
      <c r="F2501" s="21">
        <v>1860</v>
      </c>
    </row>
    <row r="2502" spans="2:6" x14ac:dyDescent="0.25">
      <c r="B2502" s="18" t="s">
        <v>11</v>
      </c>
      <c r="C2502" s="19">
        <f>41113+(3*365)</f>
        <v>42208</v>
      </c>
      <c r="D2502" s="18" t="s">
        <v>74</v>
      </c>
      <c r="E2502" s="18" t="s">
        <v>59</v>
      </c>
      <c r="F2502" s="21">
        <v>304</v>
      </c>
    </row>
    <row r="2503" spans="2:6" x14ac:dyDescent="0.25">
      <c r="B2503" s="18" t="s">
        <v>11</v>
      </c>
      <c r="C2503" s="19">
        <f>40134+(3*365)</f>
        <v>41229</v>
      </c>
      <c r="D2503" s="18" t="s">
        <v>74</v>
      </c>
      <c r="E2503" s="18" t="s">
        <v>75</v>
      </c>
      <c r="F2503" s="21">
        <v>312</v>
      </c>
    </row>
    <row r="2504" spans="2:6" x14ac:dyDescent="0.25">
      <c r="B2504" s="18" t="s">
        <v>10</v>
      </c>
      <c r="C2504" s="19">
        <f>40120+(3*365)</f>
        <v>41215</v>
      </c>
      <c r="D2504" s="18" t="s">
        <v>67</v>
      </c>
      <c r="E2504" s="18" t="s">
        <v>75</v>
      </c>
      <c r="F2504" s="21">
        <v>224</v>
      </c>
    </row>
    <row r="2505" spans="2:6" x14ac:dyDescent="0.25">
      <c r="B2505" s="18" t="s">
        <v>25</v>
      </c>
      <c r="C2505" s="19">
        <f>41242+(3*365)</f>
        <v>42337</v>
      </c>
      <c r="D2505" s="18" t="s">
        <v>78</v>
      </c>
      <c r="E2505" s="18" t="s">
        <v>75</v>
      </c>
      <c r="F2505" s="21">
        <v>66</v>
      </c>
    </row>
    <row r="2506" spans="2:6" x14ac:dyDescent="0.25">
      <c r="B2506" s="18" t="s">
        <v>8</v>
      </c>
      <c r="C2506" s="19">
        <f>40861+(3*365)</f>
        <v>41956</v>
      </c>
      <c r="D2506" s="18" t="s">
        <v>77</v>
      </c>
      <c r="E2506" s="18" t="s">
        <v>75</v>
      </c>
      <c r="F2506" s="21">
        <v>504</v>
      </c>
    </row>
    <row r="2507" spans="2:6" x14ac:dyDescent="0.25">
      <c r="B2507" s="18" t="s">
        <v>8</v>
      </c>
      <c r="C2507" s="19">
        <f>41025+(3*365)</f>
        <v>42120</v>
      </c>
      <c r="D2507" s="18" t="s">
        <v>81</v>
      </c>
      <c r="E2507" s="18" t="s">
        <v>61</v>
      </c>
      <c r="F2507" s="21">
        <v>480</v>
      </c>
    </row>
    <row r="2508" spans="2:6" x14ac:dyDescent="0.25">
      <c r="B2508" s="18" t="s">
        <v>31</v>
      </c>
      <c r="C2508" s="19">
        <f>40179+(3*365)</f>
        <v>41274</v>
      </c>
      <c r="D2508" s="18" t="s">
        <v>70</v>
      </c>
      <c r="E2508" s="18" t="s">
        <v>61</v>
      </c>
      <c r="F2508" s="21">
        <v>129</v>
      </c>
    </row>
    <row r="2509" spans="2:6" x14ac:dyDescent="0.25">
      <c r="B2509" s="18" t="s">
        <v>25</v>
      </c>
      <c r="C2509" s="19">
        <f>40809+(3*365)</f>
        <v>41904</v>
      </c>
      <c r="D2509" s="18" t="s">
        <v>79</v>
      </c>
      <c r="E2509" s="18" t="s">
        <v>59</v>
      </c>
      <c r="F2509" s="21">
        <v>272</v>
      </c>
    </row>
    <row r="2510" spans="2:6" x14ac:dyDescent="0.25">
      <c r="B2510" s="18" t="s">
        <v>25</v>
      </c>
      <c r="C2510" s="19">
        <f>40752+(3*365)</f>
        <v>41847</v>
      </c>
      <c r="D2510" s="18" t="s">
        <v>79</v>
      </c>
      <c r="E2510" s="18" t="s">
        <v>69</v>
      </c>
      <c r="F2510" s="21">
        <v>452</v>
      </c>
    </row>
    <row r="2511" spans="2:6" x14ac:dyDescent="0.25">
      <c r="B2511" s="18" t="s">
        <v>10</v>
      </c>
      <c r="C2511" s="19">
        <f>40748+(3*365)</f>
        <v>41843</v>
      </c>
      <c r="D2511" s="18" t="s">
        <v>67</v>
      </c>
      <c r="E2511" s="18" t="s">
        <v>66</v>
      </c>
      <c r="F2511" s="21">
        <v>532</v>
      </c>
    </row>
    <row r="2512" spans="2:6" x14ac:dyDescent="0.25">
      <c r="B2512" s="18" t="s">
        <v>18</v>
      </c>
      <c r="C2512" s="19">
        <f>41198+(3*365)</f>
        <v>42293</v>
      </c>
      <c r="D2512" s="18" t="s">
        <v>71</v>
      </c>
      <c r="E2512" s="18" t="s">
        <v>69</v>
      </c>
      <c r="F2512" s="21">
        <v>2472</v>
      </c>
    </row>
    <row r="2513" spans="2:6" x14ac:dyDescent="0.25">
      <c r="B2513" s="18" t="s">
        <v>31</v>
      </c>
      <c r="C2513" s="19">
        <f>40395+(3*365)</f>
        <v>41490</v>
      </c>
      <c r="D2513" s="18" t="s">
        <v>70</v>
      </c>
      <c r="E2513" s="18" t="s">
        <v>72</v>
      </c>
      <c r="F2513" s="21">
        <v>1530</v>
      </c>
    </row>
    <row r="2514" spans="2:6" x14ac:dyDescent="0.25">
      <c r="B2514" s="18" t="s">
        <v>25</v>
      </c>
      <c r="C2514" s="19">
        <f>39880+(3*365)</f>
        <v>40975</v>
      </c>
      <c r="D2514" s="18" t="s">
        <v>79</v>
      </c>
      <c r="E2514" s="18" t="s">
        <v>69</v>
      </c>
      <c r="F2514" s="21">
        <v>206</v>
      </c>
    </row>
    <row r="2515" spans="2:6" x14ac:dyDescent="0.25">
      <c r="B2515" s="18" t="s">
        <v>8</v>
      </c>
      <c r="C2515" s="19">
        <f>40555+(3*365)</f>
        <v>41650</v>
      </c>
      <c r="D2515" s="18" t="s">
        <v>77</v>
      </c>
      <c r="E2515" s="18" t="s">
        <v>63</v>
      </c>
      <c r="F2515" s="21">
        <v>1408</v>
      </c>
    </row>
    <row r="2516" spans="2:6" x14ac:dyDescent="0.25">
      <c r="B2516" s="18" t="s">
        <v>25</v>
      </c>
      <c r="C2516" s="19">
        <f>41015+(3*365)</f>
        <v>42110</v>
      </c>
      <c r="D2516" s="18" t="s">
        <v>79</v>
      </c>
      <c r="E2516" s="18" t="s">
        <v>72</v>
      </c>
      <c r="F2516" s="21">
        <v>2050</v>
      </c>
    </row>
    <row r="2517" spans="2:6" x14ac:dyDescent="0.25">
      <c r="B2517" s="18" t="s">
        <v>21</v>
      </c>
      <c r="C2517" s="19">
        <f>39863+(3*365)</f>
        <v>40958</v>
      </c>
      <c r="D2517" s="18" t="s">
        <v>73</v>
      </c>
      <c r="E2517" s="18" t="s">
        <v>72</v>
      </c>
      <c r="F2517" s="21">
        <v>972</v>
      </c>
    </row>
    <row r="2518" spans="2:6" x14ac:dyDescent="0.25">
      <c r="B2518" s="18" t="s">
        <v>21</v>
      </c>
      <c r="C2518" s="19">
        <f>39842+(3*365)</f>
        <v>40937</v>
      </c>
      <c r="D2518" s="18" t="s">
        <v>73</v>
      </c>
      <c r="E2518" s="18" t="s">
        <v>69</v>
      </c>
      <c r="F2518" s="21">
        <v>1809</v>
      </c>
    </row>
    <row r="2519" spans="2:6" x14ac:dyDescent="0.25">
      <c r="B2519" s="18" t="s">
        <v>9</v>
      </c>
      <c r="C2519" s="19">
        <f>41012+(3*365)</f>
        <v>42107</v>
      </c>
      <c r="D2519" s="18" t="s">
        <v>80</v>
      </c>
      <c r="E2519" s="18" t="s">
        <v>64</v>
      </c>
      <c r="F2519" s="21">
        <v>735</v>
      </c>
    </row>
    <row r="2520" spans="2:6" x14ac:dyDescent="0.25">
      <c r="B2520" s="18" t="s">
        <v>31</v>
      </c>
      <c r="C2520" s="19">
        <f>40835+(3*365)</f>
        <v>41930</v>
      </c>
      <c r="D2520" s="18" t="s">
        <v>76</v>
      </c>
      <c r="E2520" s="18" t="s">
        <v>59</v>
      </c>
      <c r="F2520" s="21">
        <v>273</v>
      </c>
    </row>
    <row r="2521" spans="2:6" x14ac:dyDescent="0.25">
      <c r="B2521" s="18" t="s">
        <v>10</v>
      </c>
      <c r="C2521" s="19">
        <f>41102+(3*365)</f>
        <v>42197</v>
      </c>
      <c r="D2521" s="18" t="s">
        <v>67</v>
      </c>
      <c r="E2521" s="18" t="s">
        <v>63</v>
      </c>
      <c r="F2521" s="21">
        <v>1113</v>
      </c>
    </row>
    <row r="2522" spans="2:6" x14ac:dyDescent="0.25">
      <c r="B2522" s="18" t="s">
        <v>18</v>
      </c>
      <c r="C2522" s="19">
        <f>40278+(3*365)</f>
        <v>41373</v>
      </c>
      <c r="D2522" s="18" t="s">
        <v>68</v>
      </c>
      <c r="E2522" s="18" t="s">
        <v>59</v>
      </c>
      <c r="F2522" s="21">
        <v>102</v>
      </c>
    </row>
    <row r="2523" spans="2:6" x14ac:dyDescent="0.25">
      <c r="B2523" s="18" t="s">
        <v>11</v>
      </c>
      <c r="C2523" s="19">
        <f>40632+(3*365)</f>
        <v>41727</v>
      </c>
      <c r="D2523" s="18" t="s">
        <v>60</v>
      </c>
      <c r="E2523" s="18" t="s">
        <v>64</v>
      </c>
      <c r="F2523" s="21">
        <v>14928</v>
      </c>
    </row>
    <row r="2524" spans="2:6" x14ac:dyDescent="0.25">
      <c r="B2524" s="18" t="s">
        <v>18</v>
      </c>
      <c r="C2524" s="19">
        <f>40129+(3*365)</f>
        <v>41224</v>
      </c>
      <c r="D2524" s="18" t="s">
        <v>68</v>
      </c>
      <c r="E2524" s="18" t="s">
        <v>61</v>
      </c>
      <c r="F2524" s="21">
        <v>272</v>
      </c>
    </row>
    <row r="2525" spans="2:6" x14ac:dyDescent="0.25">
      <c r="B2525" s="18" t="s">
        <v>10</v>
      </c>
      <c r="C2525" s="19">
        <f>40711+(3*365)</f>
        <v>41806</v>
      </c>
      <c r="D2525" s="18" t="s">
        <v>67</v>
      </c>
      <c r="E2525" s="18" t="s">
        <v>75</v>
      </c>
      <c r="F2525" s="21">
        <v>272</v>
      </c>
    </row>
    <row r="2526" spans="2:6" x14ac:dyDescent="0.25">
      <c r="B2526" s="18" t="s">
        <v>11</v>
      </c>
      <c r="C2526" s="19">
        <f>41072+(3*365)</f>
        <v>42167</v>
      </c>
      <c r="D2526" s="18" t="s">
        <v>60</v>
      </c>
      <c r="E2526" s="18" t="s">
        <v>61</v>
      </c>
      <c r="F2526" s="21">
        <v>756</v>
      </c>
    </row>
    <row r="2527" spans="2:6" x14ac:dyDescent="0.25">
      <c r="B2527" s="18" t="s">
        <v>31</v>
      </c>
      <c r="C2527" s="19">
        <f>40190+(3*365)</f>
        <v>41285</v>
      </c>
      <c r="D2527" s="18" t="s">
        <v>76</v>
      </c>
      <c r="E2527" s="18" t="s">
        <v>66</v>
      </c>
      <c r="F2527" s="21">
        <v>708</v>
      </c>
    </row>
    <row r="2528" spans="2:6" x14ac:dyDescent="0.25">
      <c r="B2528" s="18" t="s">
        <v>18</v>
      </c>
      <c r="C2528" s="19">
        <f>40502+(3*365)</f>
        <v>41597</v>
      </c>
      <c r="D2528" s="18" t="s">
        <v>68</v>
      </c>
      <c r="E2528" s="18" t="s">
        <v>75</v>
      </c>
      <c r="F2528" s="21">
        <v>114</v>
      </c>
    </row>
    <row r="2529" spans="2:6" x14ac:dyDescent="0.25">
      <c r="B2529" s="18" t="s">
        <v>10</v>
      </c>
      <c r="C2529" s="19">
        <f>41069+(3*365)</f>
        <v>42164</v>
      </c>
      <c r="D2529" s="18" t="s">
        <v>67</v>
      </c>
      <c r="E2529" s="18" t="s">
        <v>64</v>
      </c>
      <c r="F2529" s="21">
        <v>6867</v>
      </c>
    </row>
    <row r="2530" spans="2:6" x14ac:dyDescent="0.25">
      <c r="B2530" s="18" t="s">
        <v>31</v>
      </c>
      <c r="C2530" s="19">
        <f>40156+(3*365)</f>
        <v>41251</v>
      </c>
      <c r="D2530" s="18" t="s">
        <v>70</v>
      </c>
      <c r="E2530" s="18" t="s">
        <v>66</v>
      </c>
      <c r="F2530" s="21">
        <v>504</v>
      </c>
    </row>
    <row r="2531" spans="2:6" x14ac:dyDescent="0.25">
      <c r="B2531" s="18" t="s">
        <v>10</v>
      </c>
      <c r="C2531" s="19">
        <f>41268+(3*365)</f>
        <v>42363</v>
      </c>
      <c r="D2531" s="18" t="s">
        <v>67</v>
      </c>
      <c r="E2531" s="18" t="s">
        <v>72</v>
      </c>
      <c r="F2531" s="21">
        <v>3360</v>
      </c>
    </row>
    <row r="2532" spans="2:6" x14ac:dyDescent="0.25">
      <c r="B2532" s="18" t="s">
        <v>11</v>
      </c>
      <c r="C2532" s="19">
        <f>40061+(3*365)</f>
        <v>41156</v>
      </c>
      <c r="D2532" s="18" t="s">
        <v>74</v>
      </c>
      <c r="E2532" s="18" t="s">
        <v>64</v>
      </c>
      <c r="F2532" s="21">
        <v>8370</v>
      </c>
    </row>
    <row r="2533" spans="2:6" x14ac:dyDescent="0.25">
      <c r="B2533" s="18" t="s">
        <v>8</v>
      </c>
      <c r="C2533" s="19">
        <f>40364+(3*365)</f>
        <v>41459</v>
      </c>
      <c r="D2533" s="18" t="s">
        <v>81</v>
      </c>
      <c r="E2533" s="18" t="s">
        <v>72</v>
      </c>
      <c r="F2533" s="21">
        <v>4680</v>
      </c>
    </row>
    <row r="2534" spans="2:6" x14ac:dyDescent="0.25">
      <c r="B2534" s="18" t="s">
        <v>11</v>
      </c>
      <c r="C2534" s="19">
        <f>41108+(3*365)</f>
        <v>42203</v>
      </c>
      <c r="D2534" s="18" t="s">
        <v>60</v>
      </c>
      <c r="E2534" s="18" t="s">
        <v>69</v>
      </c>
      <c r="F2534" s="21">
        <v>6012</v>
      </c>
    </row>
    <row r="2535" spans="2:6" x14ac:dyDescent="0.25">
      <c r="B2535" s="18" t="s">
        <v>8</v>
      </c>
      <c r="C2535" s="19">
        <f>40733+(3*365)</f>
        <v>41828</v>
      </c>
      <c r="D2535" s="18" t="s">
        <v>77</v>
      </c>
      <c r="E2535" s="18" t="s">
        <v>59</v>
      </c>
      <c r="F2535" s="21">
        <v>444</v>
      </c>
    </row>
    <row r="2536" spans="2:6" x14ac:dyDescent="0.25">
      <c r="B2536" s="18" t="s">
        <v>21</v>
      </c>
      <c r="C2536" s="19">
        <f>40972+(3*365)</f>
        <v>42067</v>
      </c>
      <c r="D2536" s="18" t="s">
        <v>73</v>
      </c>
      <c r="E2536" s="18" t="s">
        <v>66</v>
      </c>
      <c r="F2536" s="21">
        <v>664</v>
      </c>
    </row>
    <row r="2537" spans="2:6" x14ac:dyDescent="0.25">
      <c r="B2537" s="18" t="s">
        <v>21</v>
      </c>
      <c r="C2537" s="19">
        <f>40494+(3*365)</f>
        <v>41589</v>
      </c>
      <c r="D2537" s="18" t="s">
        <v>58</v>
      </c>
      <c r="E2537" s="18" t="s">
        <v>72</v>
      </c>
      <c r="F2537" s="21">
        <v>1600</v>
      </c>
    </row>
    <row r="2538" spans="2:6" x14ac:dyDescent="0.25">
      <c r="B2538" s="18" t="s">
        <v>21</v>
      </c>
      <c r="C2538" s="19">
        <f>39842+(3*365)</f>
        <v>40937</v>
      </c>
      <c r="D2538" s="18" t="s">
        <v>58</v>
      </c>
      <c r="E2538" s="18" t="s">
        <v>64</v>
      </c>
      <c r="F2538" s="21">
        <v>664</v>
      </c>
    </row>
    <row r="2539" spans="2:6" x14ac:dyDescent="0.25">
      <c r="B2539" s="18" t="s">
        <v>21</v>
      </c>
      <c r="C2539" s="19">
        <f>40444+(3*365)</f>
        <v>41539</v>
      </c>
      <c r="D2539" s="18" t="s">
        <v>58</v>
      </c>
      <c r="E2539" s="18" t="s">
        <v>66</v>
      </c>
      <c r="F2539" s="21">
        <v>650</v>
      </c>
    </row>
    <row r="2540" spans="2:6" x14ac:dyDescent="0.25">
      <c r="B2540" s="18" t="s">
        <v>11</v>
      </c>
      <c r="C2540" s="19">
        <f>40451+(3*365)</f>
        <v>41546</v>
      </c>
      <c r="D2540" s="18" t="s">
        <v>60</v>
      </c>
      <c r="E2540" s="18" t="s">
        <v>75</v>
      </c>
      <c r="F2540" s="21">
        <v>357</v>
      </c>
    </row>
    <row r="2541" spans="2:6" x14ac:dyDescent="0.25">
      <c r="B2541" s="18" t="s">
        <v>25</v>
      </c>
      <c r="C2541" s="19">
        <f>40574+(3*365)</f>
        <v>41669</v>
      </c>
      <c r="D2541" s="18" t="s">
        <v>79</v>
      </c>
      <c r="E2541" s="18" t="s">
        <v>66</v>
      </c>
      <c r="F2541" s="21">
        <v>528</v>
      </c>
    </row>
    <row r="2542" spans="2:6" x14ac:dyDescent="0.25">
      <c r="B2542" s="18" t="s">
        <v>21</v>
      </c>
      <c r="C2542" s="19">
        <f>40218+(3*365)</f>
        <v>41313</v>
      </c>
      <c r="D2542" s="18" t="s">
        <v>73</v>
      </c>
      <c r="E2542" s="18" t="s">
        <v>72</v>
      </c>
      <c r="F2542" s="21">
        <v>2480</v>
      </c>
    </row>
    <row r="2543" spans="2:6" x14ac:dyDescent="0.25">
      <c r="B2543" s="18" t="s">
        <v>10</v>
      </c>
      <c r="C2543" s="19">
        <f>40705+(3*365)</f>
        <v>41800</v>
      </c>
      <c r="D2543" s="18" t="s">
        <v>65</v>
      </c>
      <c r="E2543" s="18" t="s">
        <v>72</v>
      </c>
      <c r="F2543" s="21">
        <v>224</v>
      </c>
    </row>
    <row r="2544" spans="2:6" x14ac:dyDescent="0.25">
      <c r="B2544" s="18" t="s">
        <v>25</v>
      </c>
      <c r="C2544" s="19">
        <f>41178+(3*365)</f>
        <v>42273</v>
      </c>
      <c r="D2544" s="18" t="s">
        <v>78</v>
      </c>
      <c r="E2544" s="18" t="s">
        <v>75</v>
      </c>
      <c r="F2544" s="21">
        <v>176</v>
      </c>
    </row>
    <row r="2545" spans="2:6" x14ac:dyDescent="0.25">
      <c r="B2545" s="18" t="s">
        <v>10</v>
      </c>
      <c r="C2545" s="19">
        <f>40076+(3*365)</f>
        <v>41171</v>
      </c>
      <c r="D2545" s="18" t="s">
        <v>67</v>
      </c>
      <c r="E2545" s="18" t="s">
        <v>69</v>
      </c>
      <c r="F2545" s="21">
        <v>4448</v>
      </c>
    </row>
    <row r="2546" spans="2:6" x14ac:dyDescent="0.25">
      <c r="B2546" s="18" t="s">
        <v>18</v>
      </c>
      <c r="C2546" s="19">
        <f>40960+(3*365)</f>
        <v>42055</v>
      </c>
      <c r="D2546" s="18" t="s">
        <v>71</v>
      </c>
      <c r="E2546" s="18" t="s">
        <v>72</v>
      </c>
      <c r="F2546" s="21">
        <v>639</v>
      </c>
    </row>
    <row r="2547" spans="2:6" x14ac:dyDescent="0.25">
      <c r="B2547" s="18" t="s">
        <v>31</v>
      </c>
      <c r="C2547" s="19">
        <f>40355+(3*365)</f>
        <v>41450</v>
      </c>
      <c r="D2547" s="18" t="s">
        <v>76</v>
      </c>
      <c r="E2547" s="18" t="s">
        <v>63</v>
      </c>
      <c r="F2547" s="21">
        <v>270</v>
      </c>
    </row>
    <row r="2548" spans="2:6" x14ac:dyDescent="0.25">
      <c r="B2548" s="18" t="s">
        <v>8</v>
      </c>
      <c r="C2548" s="19">
        <f>40813+(3*365)</f>
        <v>41908</v>
      </c>
      <c r="D2548" s="18" t="s">
        <v>77</v>
      </c>
      <c r="E2548" s="18" t="s">
        <v>66</v>
      </c>
      <c r="F2548" s="21">
        <v>848</v>
      </c>
    </row>
    <row r="2549" spans="2:6" x14ac:dyDescent="0.25">
      <c r="B2549" s="18" t="s">
        <v>21</v>
      </c>
      <c r="C2549" s="19">
        <f>40389+(3*365)</f>
        <v>41484</v>
      </c>
      <c r="D2549" s="18" t="s">
        <v>58</v>
      </c>
      <c r="E2549" s="18" t="s">
        <v>75</v>
      </c>
      <c r="F2549" s="21">
        <v>228</v>
      </c>
    </row>
    <row r="2550" spans="2:6" x14ac:dyDescent="0.25">
      <c r="B2550" s="18" t="s">
        <v>18</v>
      </c>
      <c r="C2550" s="19">
        <f>40496+(3*365)</f>
        <v>41591</v>
      </c>
      <c r="D2550" s="18" t="s">
        <v>68</v>
      </c>
      <c r="E2550" s="18" t="s">
        <v>72</v>
      </c>
      <c r="F2550" s="21">
        <v>4464</v>
      </c>
    </row>
    <row r="2551" spans="2:6" x14ac:dyDescent="0.25">
      <c r="B2551" s="18" t="s">
        <v>8</v>
      </c>
      <c r="C2551" s="19">
        <f>40627+(3*365)</f>
        <v>41722</v>
      </c>
      <c r="D2551" s="18" t="s">
        <v>81</v>
      </c>
      <c r="E2551" s="18" t="s">
        <v>64</v>
      </c>
      <c r="F2551" s="21">
        <v>7656</v>
      </c>
    </row>
    <row r="2552" spans="2:6" x14ac:dyDescent="0.25">
      <c r="B2552" s="18" t="s">
        <v>8</v>
      </c>
      <c r="C2552" s="19">
        <f>39846+(3*365)</f>
        <v>40941</v>
      </c>
      <c r="D2552" s="18" t="s">
        <v>81</v>
      </c>
      <c r="E2552" s="18" t="s">
        <v>61</v>
      </c>
      <c r="F2552" s="21">
        <v>756</v>
      </c>
    </row>
    <row r="2553" spans="2:6" x14ac:dyDescent="0.25">
      <c r="B2553" s="18" t="s">
        <v>31</v>
      </c>
      <c r="C2553" s="19">
        <f>41184+(3*365)</f>
        <v>42279</v>
      </c>
      <c r="D2553" s="18" t="s">
        <v>76</v>
      </c>
      <c r="E2553" s="18" t="s">
        <v>63</v>
      </c>
      <c r="F2553" s="21">
        <v>744</v>
      </c>
    </row>
    <row r="2554" spans="2:6" x14ac:dyDescent="0.25">
      <c r="B2554" s="18" t="s">
        <v>8</v>
      </c>
      <c r="C2554" s="19">
        <f>40149+(3*365)</f>
        <v>41244</v>
      </c>
      <c r="D2554" s="18" t="s">
        <v>77</v>
      </c>
      <c r="E2554" s="18" t="s">
        <v>72</v>
      </c>
      <c r="F2554" s="21">
        <v>303</v>
      </c>
    </row>
    <row r="2555" spans="2:6" x14ac:dyDescent="0.25">
      <c r="B2555" s="18" t="s">
        <v>9</v>
      </c>
      <c r="C2555" s="19">
        <f>41263+(3*365)</f>
        <v>42358</v>
      </c>
      <c r="D2555" s="18" t="s">
        <v>80</v>
      </c>
      <c r="E2555" s="18" t="s">
        <v>63</v>
      </c>
      <c r="F2555" s="21">
        <v>84</v>
      </c>
    </row>
    <row r="2556" spans="2:6" x14ac:dyDescent="0.25">
      <c r="B2556" s="18" t="s">
        <v>9</v>
      </c>
      <c r="C2556" s="19">
        <f>40818+(3*365)</f>
        <v>41913</v>
      </c>
      <c r="D2556" s="18" t="s">
        <v>62</v>
      </c>
      <c r="E2556" s="18" t="s">
        <v>66</v>
      </c>
      <c r="F2556" s="21">
        <v>468</v>
      </c>
    </row>
    <row r="2557" spans="2:6" x14ac:dyDescent="0.25">
      <c r="B2557" s="18" t="s">
        <v>18</v>
      </c>
      <c r="C2557" s="19">
        <f>40245+(3*365)</f>
        <v>41340</v>
      </c>
      <c r="D2557" s="18" t="s">
        <v>71</v>
      </c>
      <c r="E2557" s="18" t="s">
        <v>63</v>
      </c>
      <c r="F2557" s="21">
        <v>150</v>
      </c>
    </row>
    <row r="2558" spans="2:6" x14ac:dyDescent="0.25">
      <c r="B2558" s="18" t="s">
        <v>21</v>
      </c>
      <c r="C2558" s="19">
        <f>41132+(3*365)</f>
        <v>42227</v>
      </c>
      <c r="D2558" s="18" t="s">
        <v>73</v>
      </c>
      <c r="E2558" s="18" t="s">
        <v>72</v>
      </c>
      <c r="F2558" s="21">
        <v>1080</v>
      </c>
    </row>
    <row r="2559" spans="2:6" x14ac:dyDescent="0.25">
      <c r="B2559" s="18" t="s">
        <v>21</v>
      </c>
      <c r="C2559" s="19">
        <f>40715+(3*365)</f>
        <v>41810</v>
      </c>
      <c r="D2559" s="18" t="s">
        <v>58</v>
      </c>
      <c r="E2559" s="18" t="s">
        <v>63</v>
      </c>
      <c r="F2559" s="21">
        <v>1323</v>
      </c>
    </row>
    <row r="2560" spans="2:6" x14ac:dyDescent="0.25">
      <c r="B2560" s="18" t="s">
        <v>21</v>
      </c>
      <c r="C2560" s="19">
        <f>41175+(3*365)</f>
        <v>42270</v>
      </c>
      <c r="D2560" s="18" t="s">
        <v>73</v>
      </c>
      <c r="E2560" s="18" t="s">
        <v>61</v>
      </c>
      <c r="F2560" s="21">
        <v>148</v>
      </c>
    </row>
    <row r="2561" spans="2:6" x14ac:dyDescent="0.25">
      <c r="B2561" s="18" t="s">
        <v>10</v>
      </c>
      <c r="C2561" s="19">
        <f>40001+(3*365)</f>
        <v>41096</v>
      </c>
      <c r="D2561" s="18" t="s">
        <v>65</v>
      </c>
      <c r="E2561" s="18" t="s">
        <v>64</v>
      </c>
      <c r="F2561" s="21">
        <v>9840</v>
      </c>
    </row>
    <row r="2562" spans="2:6" x14ac:dyDescent="0.25">
      <c r="B2562" s="18" t="s">
        <v>9</v>
      </c>
      <c r="C2562" s="19">
        <f>40284+(3*365)</f>
        <v>41379</v>
      </c>
      <c r="D2562" s="18" t="s">
        <v>80</v>
      </c>
      <c r="E2562" s="18" t="s">
        <v>63</v>
      </c>
      <c r="F2562" s="21">
        <v>378</v>
      </c>
    </row>
    <row r="2563" spans="2:6" x14ac:dyDescent="0.25">
      <c r="B2563" s="18" t="s">
        <v>8</v>
      </c>
      <c r="C2563" s="19">
        <f>40688+(3*365)</f>
        <v>41783</v>
      </c>
      <c r="D2563" s="18" t="s">
        <v>77</v>
      </c>
      <c r="E2563" s="18" t="s">
        <v>63</v>
      </c>
      <c r="F2563" s="21">
        <v>560</v>
      </c>
    </row>
    <row r="2564" spans="2:6" x14ac:dyDescent="0.25">
      <c r="B2564" s="18" t="s">
        <v>10</v>
      </c>
      <c r="C2564" s="19">
        <f>41264+(3*365)</f>
        <v>42359</v>
      </c>
      <c r="D2564" s="18" t="s">
        <v>65</v>
      </c>
      <c r="E2564" s="18" t="s">
        <v>66</v>
      </c>
      <c r="F2564" s="21">
        <v>996</v>
      </c>
    </row>
    <row r="2565" spans="2:6" x14ac:dyDescent="0.25">
      <c r="B2565" s="18" t="s">
        <v>21</v>
      </c>
      <c r="C2565" s="19">
        <f>40066+(3*365)</f>
        <v>41161</v>
      </c>
      <c r="D2565" s="18" t="s">
        <v>58</v>
      </c>
      <c r="E2565" s="18" t="s">
        <v>72</v>
      </c>
      <c r="F2565" s="21">
        <v>335</v>
      </c>
    </row>
    <row r="2566" spans="2:6" x14ac:dyDescent="0.25">
      <c r="B2566" s="18" t="s">
        <v>11</v>
      </c>
      <c r="C2566" s="19">
        <f>40588+(3*365)</f>
        <v>41683</v>
      </c>
      <c r="D2566" s="18" t="s">
        <v>60</v>
      </c>
      <c r="E2566" s="18" t="s">
        <v>69</v>
      </c>
      <c r="F2566" s="21">
        <v>1260</v>
      </c>
    </row>
    <row r="2567" spans="2:6" x14ac:dyDescent="0.25">
      <c r="B2567" s="18" t="s">
        <v>21</v>
      </c>
      <c r="C2567" s="19">
        <f>41221+(3*365)</f>
        <v>42316</v>
      </c>
      <c r="D2567" s="18" t="s">
        <v>73</v>
      </c>
      <c r="E2567" s="18" t="s">
        <v>66</v>
      </c>
      <c r="F2567" s="21">
        <v>152</v>
      </c>
    </row>
    <row r="2568" spans="2:6" x14ac:dyDescent="0.25">
      <c r="B2568" s="18" t="s">
        <v>31</v>
      </c>
      <c r="C2568" s="19">
        <f>40423+(3*365)</f>
        <v>41518</v>
      </c>
      <c r="D2568" s="18" t="s">
        <v>70</v>
      </c>
      <c r="E2568" s="18" t="s">
        <v>59</v>
      </c>
      <c r="F2568" s="21">
        <v>666</v>
      </c>
    </row>
    <row r="2569" spans="2:6" x14ac:dyDescent="0.25">
      <c r="B2569" s="18" t="s">
        <v>31</v>
      </c>
      <c r="C2569" s="19">
        <f>41153+(3*365)</f>
        <v>42248</v>
      </c>
      <c r="D2569" s="18" t="s">
        <v>70</v>
      </c>
      <c r="E2569" s="18" t="s">
        <v>63</v>
      </c>
      <c r="F2569" s="21">
        <v>189</v>
      </c>
    </row>
    <row r="2570" spans="2:6" x14ac:dyDescent="0.25">
      <c r="B2570" s="18" t="s">
        <v>21</v>
      </c>
      <c r="C2570" s="19">
        <f>39980+(3*365)</f>
        <v>41075</v>
      </c>
      <c r="D2570" s="18" t="s">
        <v>58</v>
      </c>
      <c r="E2570" s="18" t="s">
        <v>61</v>
      </c>
      <c r="F2570" s="21">
        <v>44</v>
      </c>
    </row>
    <row r="2571" spans="2:6" x14ac:dyDescent="0.25">
      <c r="B2571" s="18" t="s">
        <v>8</v>
      </c>
      <c r="C2571" s="19">
        <f>40487+(3*365)</f>
        <v>41582</v>
      </c>
      <c r="D2571" s="18" t="s">
        <v>81</v>
      </c>
      <c r="E2571" s="18" t="s">
        <v>61</v>
      </c>
      <c r="F2571" s="21">
        <v>896</v>
      </c>
    </row>
    <row r="2572" spans="2:6" x14ac:dyDescent="0.25">
      <c r="B2572" s="18" t="s">
        <v>10</v>
      </c>
      <c r="C2572" s="19">
        <f>39947+(3*365)</f>
        <v>41042</v>
      </c>
      <c r="D2572" s="18" t="s">
        <v>67</v>
      </c>
      <c r="E2572" s="18" t="s">
        <v>61</v>
      </c>
      <c r="F2572" s="21">
        <v>820</v>
      </c>
    </row>
    <row r="2573" spans="2:6" x14ac:dyDescent="0.25">
      <c r="B2573" s="18" t="s">
        <v>25</v>
      </c>
      <c r="C2573" s="19">
        <f>41194+(3*365)</f>
        <v>42289</v>
      </c>
      <c r="D2573" s="18" t="s">
        <v>78</v>
      </c>
      <c r="E2573" s="18" t="s">
        <v>59</v>
      </c>
      <c r="F2573" s="21">
        <v>320</v>
      </c>
    </row>
    <row r="2574" spans="2:6" x14ac:dyDescent="0.25">
      <c r="B2574" s="18" t="s">
        <v>21</v>
      </c>
      <c r="C2574" s="19">
        <f>40483+(3*365)</f>
        <v>41578</v>
      </c>
      <c r="D2574" s="18" t="s">
        <v>58</v>
      </c>
      <c r="E2574" s="18" t="s">
        <v>72</v>
      </c>
      <c r="F2574" s="21">
        <v>224</v>
      </c>
    </row>
    <row r="2575" spans="2:6" x14ac:dyDescent="0.25">
      <c r="B2575" s="18" t="s">
        <v>9</v>
      </c>
      <c r="C2575" s="19">
        <f>40762+(3*365)</f>
        <v>41857</v>
      </c>
      <c r="D2575" s="18" t="s">
        <v>62</v>
      </c>
      <c r="E2575" s="18" t="s">
        <v>72</v>
      </c>
      <c r="F2575" s="21">
        <v>1815</v>
      </c>
    </row>
    <row r="2576" spans="2:6" x14ac:dyDescent="0.25">
      <c r="B2576" s="18" t="s">
        <v>11</v>
      </c>
      <c r="C2576" s="19">
        <f>40863+(3*365)</f>
        <v>41958</v>
      </c>
      <c r="D2576" s="18" t="s">
        <v>74</v>
      </c>
      <c r="E2576" s="18" t="s">
        <v>59</v>
      </c>
      <c r="F2576" s="21">
        <v>576</v>
      </c>
    </row>
    <row r="2577" spans="2:6" x14ac:dyDescent="0.25">
      <c r="B2577" s="18" t="s">
        <v>9</v>
      </c>
      <c r="C2577" s="19">
        <f>41157+(3*365)</f>
        <v>42252</v>
      </c>
      <c r="D2577" s="18" t="s">
        <v>62</v>
      </c>
      <c r="E2577" s="18" t="s">
        <v>66</v>
      </c>
      <c r="F2577" s="21">
        <v>372</v>
      </c>
    </row>
    <row r="2578" spans="2:6" x14ac:dyDescent="0.25">
      <c r="B2578" s="18" t="s">
        <v>25</v>
      </c>
      <c r="C2578" s="19">
        <f>40961+(3*365)</f>
        <v>42056</v>
      </c>
      <c r="D2578" s="18" t="s">
        <v>78</v>
      </c>
      <c r="E2578" s="18" t="s">
        <v>59</v>
      </c>
      <c r="F2578" s="21">
        <v>416</v>
      </c>
    </row>
    <row r="2579" spans="2:6" x14ac:dyDescent="0.25">
      <c r="B2579" s="18" t="s">
        <v>10</v>
      </c>
      <c r="C2579" s="19">
        <f>40552+(3*365)</f>
        <v>41647</v>
      </c>
      <c r="D2579" s="18" t="s">
        <v>65</v>
      </c>
      <c r="E2579" s="18" t="s">
        <v>63</v>
      </c>
      <c r="F2579" s="21">
        <v>124</v>
      </c>
    </row>
    <row r="2580" spans="2:6" x14ac:dyDescent="0.25">
      <c r="B2580" s="18" t="s">
        <v>25</v>
      </c>
      <c r="C2580" s="19">
        <f>40373+(3*365)</f>
        <v>41468</v>
      </c>
      <c r="D2580" s="18" t="s">
        <v>79</v>
      </c>
      <c r="E2580" s="18" t="s">
        <v>69</v>
      </c>
      <c r="F2580" s="21">
        <v>2400</v>
      </c>
    </row>
    <row r="2581" spans="2:6" x14ac:dyDescent="0.25">
      <c r="B2581" s="18" t="s">
        <v>18</v>
      </c>
      <c r="C2581" s="19">
        <f>39974+(3*365)</f>
        <v>41069</v>
      </c>
      <c r="D2581" s="18" t="s">
        <v>71</v>
      </c>
      <c r="E2581" s="18" t="s">
        <v>69</v>
      </c>
      <c r="F2581" s="21">
        <v>576</v>
      </c>
    </row>
    <row r="2582" spans="2:6" x14ac:dyDescent="0.25">
      <c r="B2582" s="18" t="s">
        <v>25</v>
      </c>
      <c r="C2582" s="19">
        <f>41093+(3*365)</f>
        <v>42188</v>
      </c>
      <c r="D2582" s="18" t="s">
        <v>79</v>
      </c>
      <c r="E2582" s="18" t="s">
        <v>59</v>
      </c>
      <c r="F2582" s="21">
        <v>250</v>
      </c>
    </row>
    <row r="2583" spans="2:6" x14ac:dyDescent="0.25">
      <c r="B2583" s="18" t="s">
        <v>9</v>
      </c>
      <c r="C2583" s="19">
        <f>40653+(3*365)</f>
        <v>41748</v>
      </c>
      <c r="D2583" s="18" t="s">
        <v>80</v>
      </c>
      <c r="E2583" s="18" t="s">
        <v>63</v>
      </c>
      <c r="F2583" s="21">
        <v>198</v>
      </c>
    </row>
    <row r="2584" spans="2:6" x14ac:dyDescent="0.25">
      <c r="B2584" s="18" t="s">
        <v>25</v>
      </c>
      <c r="C2584" s="19">
        <f>39916+(3*365)</f>
        <v>41011</v>
      </c>
      <c r="D2584" s="18" t="s">
        <v>79</v>
      </c>
      <c r="E2584" s="18" t="s">
        <v>72</v>
      </c>
      <c r="F2584" s="21">
        <v>1784</v>
      </c>
    </row>
    <row r="2585" spans="2:6" x14ac:dyDescent="0.25">
      <c r="B2585" s="18" t="s">
        <v>18</v>
      </c>
      <c r="C2585" s="19">
        <f>40500+(3*365)</f>
        <v>41595</v>
      </c>
      <c r="D2585" s="18" t="s">
        <v>68</v>
      </c>
      <c r="E2585" s="18" t="s">
        <v>66</v>
      </c>
      <c r="F2585" s="21">
        <v>1095</v>
      </c>
    </row>
    <row r="2586" spans="2:6" x14ac:dyDescent="0.25">
      <c r="B2586" s="18" t="s">
        <v>11</v>
      </c>
      <c r="C2586" s="19">
        <f>40422+(3*365)</f>
        <v>41517</v>
      </c>
      <c r="D2586" s="18" t="s">
        <v>60</v>
      </c>
      <c r="E2586" s="18" t="s">
        <v>69</v>
      </c>
      <c r="F2586" s="21">
        <v>1176</v>
      </c>
    </row>
    <row r="2587" spans="2:6" x14ac:dyDescent="0.25">
      <c r="B2587" s="18" t="s">
        <v>18</v>
      </c>
      <c r="C2587" s="19">
        <f>40636+(3*365)</f>
        <v>41731</v>
      </c>
      <c r="D2587" s="18" t="s">
        <v>68</v>
      </c>
      <c r="E2587" s="18" t="s">
        <v>61</v>
      </c>
      <c r="F2587" s="21">
        <v>888</v>
      </c>
    </row>
    <row r="2588" spans="2:6" x14ac:dyDescent="0.25">
      <c r="B2588" s="18" t="s">
        <v>10</v>
      </c>
      <c r="C2588" s="19">
        <f>40963+(3*365)</f>
        <v>42058</v>
      </c>
      <c r="D2588" s="18" t="s">
        <v>67</v>
      </c>
      <c r="E2588" s="18" t="s">
        <v>69</v>
      </c>
      <c r="F2588" s="21">
        <v>300</v>
      </c>
    </row>
    <row r="2589" spans="2:6" x14ac:dyDescent="0.25">
      <c r="B2589" s="18" t="s">
        <v>11</v>
      </c>
      <c r="C2589" s="19">
        <f>41122+(3*365)</f>
        <v>42217</v>
      </c>
      <c r="D2589" s="18" t="s">
        <v>60</v>
      </c>
      <c r="E2589" s="18" t="s">
        <v>75</v>
      </c>
      <c r="F2589" s="21">
        <v>148</v>
      </c>
    </row>
    <row r="2590" spans="2:6" x14ac:dyDescent="0.25">
      <c r="B2590" s="18" t="s">
        <v>18</v>
      </c>
      <c r="C2590" s="19">
        <f>40793+(3*365)</f>
        <v>41888</v>
      </c>
      <c r="D2590" s="18" t="s">
        <v>68</v>
      </c>
      <c r="E2590" s="18" t="s">
        <v>59</v>
      </c>
      <c r="F2590" s="21">
        <v>176</v>
      </c>
    </row>
    <row r="2591" spans="2:6" x14ac:dyDescent="0.25">
      <c r="B2591" s="18" t="s">
        <v>10</v>
      </c>
      <c r="C2591" s="19">
        <f>40143+(3*365)</f>
        <v>41238</v>
      </c>
      <c r="D2591" s="18" t="s">
        <v>67</v>
      </c>
      <c r="E2591" s="18" t="s">
        <v>61</v>
      </c>
      <c r="F2591" s="21">
        <v>680</v>
      </c>
    </row>
    <row r="2592" spans="2:6" x14ac:dyDescent="0.25">
      <c r="B2592" s="18" t="s">
        <v>8</v>
      </c>
      <c r="C2592" s="19">
        <f>40398+(3*365)</f>
        <v>41493</v>
      </c>
      <c r="D2592" s="18" t="s">
        <v>77</v>
      </c>
      <c r="E2592" s="18" t="s">
        <v>69</v>
      </c>
      <c r="F2592" s="21">
        <v>4848</v>
      </c>
    </row>
    <row r="2593" spans="2:6" x14ac:dyDescent="0.25">
      <c r="B2593" s="18" t="s">
        <v>21</v>
      </c>
      <c r="C2593" s="19">
        <f>41232+(3*365)</f>
        <v>42327</v>
      </c>
      <c r="D2593" s="18" t="s">
        <v>58</v>
      </c>
      <c r="E2593" s="18" t="s">
        <v>72</v>
      </c>
      <c r="F2593" s="21">
        <v>1256</v>
      </c>
    </row>
    <row r="2594" spans="2:6" x14ac:dyDescent="0.25">
      <c r="B2594" s="18" t="s">
        <v>9</v>
      </c>
      <c r="C2594" s="19">
        <f>40830+(3*365)</f>
        <v>41925</v>
      </c>
      <c r="D2594" s="18" t="s">
        <v>80</v>
      </c>
      <c r="E2594" s="18" t="s">
        <v>75</v>
      </c>
      <c r="F2594" s="21">
        <v>972</v>
      </c>
    </row>
    <row r="2595" spans="2:6" x14ac:dyDescent="0.25">
      <c r="B2595" s="18" t="s">
        <v>10</v>
      </c>
      <c r="C2595" s="19">
        <f>40851+(3*365)</f>
        <v>41946</v>
      </c>
      <c r="D2595" s="18" t="s">
        <v>67</v>
      </c>
      <c r="E2595" s="18" t="s">
        <v>59</v>
      </c>
      <c r="F2595" s="21">
        <v>62</v>
      </c>
    </row>
    <row r="2596" spans="2:6" x14ac:dyDescent="0.25">
      <c r="B2596" s="18" t="s">
        <v>10</v>
      </c>
      <c r="C2596" s="19">
        <f>40092+(3*365)</f>
        <v>41187</v>
      </c>
      <c r="D2596" s="18" t="s">
        <v>67</v>
      </c>
      <c r="E2596" s="18" t="s">
        <v>75</v>
      </c>
      <c r="F2596" s="21">
        <v>280</v>
      </c>
    </row>
    <row r="2597" spans="2:6" x14ac:dyDescent="0.25">
      <c r="B2597" s="18" t="s">
        <v>10</v>
      </c>
      <c r="C2597" s="19">
        <f>40493+(3*365)</f>
        <v>41588</v>
      </c>
      <c r="D2597" s="18" t="s">
        <v>65</v>
      </c>
      <c r="E2597" s="18" t="s">
        <v>59</v>
      </c>
      <c r="F2597" s="21">
        <v>78</v>
      </c>
    </row>
    <row r="2598" spans="2:6" x14ac:dyDescent="0.25">
      <c r="B2598" s="18" t="s">
        <v>10</v>
      </c>
      <c r="C2598" s="19">
        <f>40808+(3*365)</f>
        <v>41903</v>
      </c>
      <c r="D2598" s="18" t="s">
        <v>65</v>
      </c>
      <c r="E2598" s="18" t="s">
        <v>69</v>
      </c>
      <c r="F2598" s="21">
        <v>2772</v>
      </c>
    </row>
    <row r="2599" spans="2:6" x14ac:dyDescent="0.25">
      <c r="B2599" s="18" t="s">
        <v>18</v>
      </c>
      <c r="C2599" s="19">
        <f>40884+(3*365)</f>
        <v>41979</v>
      </c>
      <c r="D2599" s="18" t="s">
        <v>68</v>
      </c>
      <c r="E2599" s="18" t="s">
        <v>61</v>
      </c>
      <c r="F2599" s="21">
        <v>960</v>
      </c>
    </row>
    <row r="2600" spans="2:6" x14ac:dyDescent="0.25">
      <c r="B2600" s="18" t="s">
        <v>9</v>
      </c>
      <c r="C2600" s="19">
        <f>40333+(3*365)</f>
        <v>41428</v>
      </c>
      <c r="D2600" s="18" t="s">
        <v>62</v>
      </c>
      <c r="E2600" s="18" t="s">
        <v>61</v>
      </c>
      <c r="F2600" s="21">
        <v>488</v>
      </c>
    </row>
    <row r="2601" spans="2:6" x14ac:dyDescent="0.25">
      <c r="B2601" s="18" t="s">
        <v>25</v>
      </c>
      <c r="C2601" s="19">
        <f>40074+(3*365)</f>
        <v>41169</v>
      </c>
      <c r="D2601" s="18" t="s">
        <v>78</v>
      </c>
      <c r="E2601" s="18" t="s">
        <v>75</v>
      </c>
      <c r="F2601" s="21">
        <v>150</v>
      </c>
    </row>
    <row r="2602" spans="2:6" x14ac:dyDescent="0.25">
      <c r="B2602" s="18" t="s">
        <v>21</v>
      </c>
      <c r="C2602" s="19">
        <f>40908+(3*365)</f>
        <v>42003</v>
      </c>
      <c r="D2602" s="18" t="s">
        <v>58</v>
      </c>
      <c r="E2602" s="18" t="s">
        <v>66</v>
      </c>
      <c r="F2602" s="21">
        <v>1890</v>
      </c>
    </row>
    <row r="2603" spans="2:6" x14ac:dyDescent="0.25">
      <c r="B2603" s="18" t="s">
        <v>21</v>
      </c>
      <c r="C2603" s="19">
        <f>39915+(3*365)</f>
        <v>41010</v>
      </c>
      <c r="D2603" s="18" t="s">
        <v>58</v>
      </c>
      <c r="E2603" s="18" t="s">
        <v>63</v>
      </c>
      <c r="F2603" s="21">
        <v>144</v>
      </c>
    </row>
    <row r="2604" spans="2:6" x14ac:dyDescent="0.25">
      <c r="B2604" s="18" t="s">
        <v>10</v>
      </c>
      <c r="C2604" s="19">
        <f>40023+(3*365)</f>
        <v>41118</v>
      </c>
      <c r="D2604" s="18" t="s">
        <v>65</v>
      </c>
      <c r="E2604" s="18" t="s">
        <v>61</v>
      </c>
      <c r="F2604" s="21">
        <v>1072</v>
      </c>
    </row>
    <row r="2605" spans="2:6" x14ac:dyDescent="0.25">
      <c r="B2605" s="18" t="s">
        <v>9</v>
      </c>
      <c r="C2605" s="19">
        <f>39964+(3*365)</f>
        <v>41059</v>
      </c>
      <c r="D2605" s="18" t="s">
        <v>62</v>
      </c>
      <c r="E2605" s="18" t="s">
        <v>59</v>
      </c>
      <c r="F2605" s="21">
        <v>138</v>
      </c>
    </row>
    <row r="2606" spans="2:6" x14ac:dyDescent="0.25">
      <c r="B2606" s="18" t="s">
        <v>9</v>
      </c>
      <c r="C2606" s="19">
        <f>40661+(3*365)</f>
        <v>41756</v>
      </c>
      <c r="D2606" s="18" t="s">
        <v>62</v>
      </c>
      <c r="E2606" s="18" t="s">
        <v>66</v>
      </c>
      <c r="F2606" s="21">
        <v>639</v>
      </c>
    </row>
    <row r="2607" spans="2:6" x14ac:dyDescent="0.25">
      <c r="B2607" s="18" t="s">
        <v>8</v>
      </c>
      <c r="C2607" s="19">
        <f>40602+(3*365)</f>
        <v>41697</v>
      </c>
      <c r="D2607" s="18" t="s">
        <v>81</v>
      </c>
      <c r="E2607" s="18" t="s">
        <v>72</v>
      </c>
      <c r="F2607" s="21">
        <v>4920</v>
      </c>
    </row>
    <row r="2608" spans="2:6" x14ac:dyDescent="0.25">
      <c r="B2608" s="18" t="s">
        <v>21</v>
      </c>
      <c r="C2608" s="19">
        <f>41206+(3*365)</f>
        <v>42301</v>
      </c>
      <c r="D2608" s="18" t="s">
        <v>73</v>
      </c>
      <c r="E2608" s="18" t="s">
        <v>61</v>
      </c>
      <c r="F2608" s="21">
        <v>320</v>
      </c>
    </row>
    <row r="2609" spans="2:6" x14ac:dyDescent="0.25">
      <c r="B2609" s="18" t="s">
        <v>21</v>
      </c>
      <c r="C2609" s="19">
        <f>41232+(3*365)</f>
        <v>42327</v>
      </c>
      <c r="D2609" s="18" t="s">
        <v>73</v>
      </c>
      <c r="E2609" s="18" t="s">
        <v>63</v>
      </c>
      <c r="F2609" s="21">
        <v>2088</v>
      </c>
    </row>
    <row r="2610" spans="2:6" x14ac:dyDescent="0.25">
      <c r="B2610" s="18" t="s">
        <v>11</v>
      </c>
      <c r="C2610" s="19">
        <f>40004+(3*365)</f>
        <v>41099</v>
      </c>
      <c r="D2610" s="18" t="s">
        <v>60</v>
      </c>
      <c r="E2610" s="18" t="s">
        <v>69</v>
      </c>
      <c r="F2610" s="21">
        <v>1194</v>
      </c>
    </row>
    <row r="2611" spans="2:6" x14ac:dyDescent="0.25">
      <c r="B2611" s="18" t="s">
        <v>31</v>
      </c>
      <c r="C2611" s="19">
        <f>41145+(3*365)</f>
        <v>42240</v>
      </c>
      <c r="D2611" s="18" t="s">
        <v>76</v>
      </c>
      <c r="E2611" s="18" t="s">
        <v>66</v>
      </c>
      <c r="F2611" s="21">
        <v>234</v>
      </c>
    </row>
    <row r="2612" spans="2:6" x14ac:dyDescent="0.25">
      <c r="B2612" s="18" t="s">
        <v>9</v>
      </c>
      <c r="C2612" s="19">
        <f>40857+(3*365)</f>
        <v>41952</v>
      </c>
      <c r="D2612" s="18" t="s">
        <v>62</v>
      </c>
      <c r="E2612" s="18" t="s">
        <v>72</v>
      </c>
      <c r="F2612" s="21">
        <v>1242</v>
      </c>
    </row>
    <row r="2613" spans="2:6" x14ac:dyDescent="0.25">
      <c r="B2613" s="18" t="s">
        <v>11</v>
      </c>
      <c r="C2613" s="19">
        <f>40125+(3*365)</f>
        <v>41220</v>
      </c>
      <c r="D2613" s="18" t="s">
        <v>74</v>
      </c>
      <c r="E2613" s="18" t="s">
        <v>59</v>
      </c>
      <c r="F2613" s="21">
        <v>558</v>
      </c>
    </row>
    <row r="2614" spans="2:6" x14ac:dyDescent="0.25">
      <c r="B2614" s="18" t="s">
        <v>10</v>
      </c>
      <c r="C2614" s="19">
        <f>39954+(3*365)</f>
        <v>41049</v>
      </c>
      <c r="D2614" s="18" t="s">
        <v>67</v>
      </c>
      <c r="E2614" s="18" t="s">
        <v>64</v>
      </c>
      <c r="F2614" s="21">
        <v>9200</v>
      </c>
    </row>
    <row r="2615" spans="2:6" x14ac:dyDescent="0.25">
      <c r="B2615" s="18" t="s">
        <v>9</v>
      </c>
      <c r="C2615" s="19">
        <f>41058+(3*365)</f>
        <v>42153</v>
      </c>
      <c r="D2615" s="18" t="s">
        <v>62</v>
      </c>
      <c r="E2615" s="18" t="s">
        <v>75</v>
      </c>
      <c r="F2615" s="21">
        <v>40</v>
      </c>
    </row>
    <row r="2616" spans="2:6" x14ac:dyDescent="0.25">
      <c r="B2616" s="18" t="s">
        <v>31</v>
      </c>
      <c r="C2616" s="19">
        <f>41073+(3*365)</f>
        <v>42168</v>
      </c>
      <c r="D2616" s="18" t="s">
        <v>76</v>
      </c>
      <c r="E2616" s="18" t="s">
        <v>63</v>
      </c>
      <c r="F2616" s="21">
        <v>552</v>
      </c>
    </row>
    <row r="2617" spans="2:6" x14ac:dyDescent="0.25">
      <c r="B2617" s="18" t="s">
        <v>8</v>
      </c>
      <c r="C2617" s="19">
        <f>39853+(3*365)</f>
        <v>40948</v>
      </c>
      <c r="D2617" s="18" t="s">
        <v>77</v>
      </c>
      <c r="E2617" s="18" t="s">
        <v>63</v>
      </c>
      <c r="F2617" s="21">
        <v>156</v>
      </c>
    </row>
    <row r="2618" spans="2:6" x14ac:dyDescent="0.25">
      <c r="B2618" s="18" t="s">
        <v>21</v>
      </c>
      <c r="C2618" s="19">
        <f>40757+(3*365)</f>
        <v>41852</v>
      </c>
      <c r="D2618" s="18" t="s">
        <v>58</v>
      </c>
      <c r="E2618" s="18" t="s">
        <v>66</v>
      </c>
      <c r="F2618" s="21">
        <v>750</v>
      </c>
    </row>
    <row r="2619" spans="2:6" x14ac:dyDescent="0.25">
      <c r="B2619" s="18" t="s">
        <v>10</v>
      </c>
      <c r="C2619" s="19">
        <f>40283+(3*365)</f>
        <v>41378</v>
      </c>
      <c r="D2619" s="18" t="s">
        <v>67</v>
      </c>
      <c r="E2619" s="18" t="s">
        <v>63</v>
      </c>
      <c r="F2619" s="21">
        <v>135</v>
      </c>
    </row>
    <row r="2620" spans="2:6" x14ac:dyDescent="0.25">
      <c r="B2620" s="18" t="s">
        <v>10</v>
      </c>
      <c r="C2620" s="19">
        <f>39869+(3*365)</f>
        <v>40964</v>
      </c>
      <c r="D2620" s="18" t="s">
        <v>65</v>
      </c>
      <c r="E2620" s="18" t="s">
        <v>63</v>
      </c>
      <c r="F2620" s="21">
        <v>924</v>
      </c>
    </row>
    <row r="2621" spans="2:6" x14ac:dyDescent="0.25">
      <c r="B2621" s="18" t="s">
        <v>25</v>
      </c>
      <c r="C2621" s="19">
        <f>41142+(3*365)</f>
        <v>42237</v>
      </c>
      <c r="D2621" s="18" t="s">
        <v>78</v>
      </c>
      <c r="E2621" s="18" t="s">
        <v>59</v>
      </c>
      <c r="F2621" s="21">
        <v>144</v>
      </c>
    </row>
    <row r="2622" spans="2:6" x14ac:dyDescent="0.25">
      <c r="B2622" s="18" t="s">
        <v>21</v>
      </c>
      <c r="C2622" s="19">
        <f>40491+(3*365)</f>
        <v>41586</v>
      </c>
      <c r="D2622" s="18" t="s">
        <v>58</v>
      </c>
      <c r="E2622" s="18" t="s">
        <v>59</v>
      </c>
      <c r="F2622" s="21">
        <v>252</v>
      </c>
    </row>
    <row r="2623" spans="2:6" x14ac:dyDescent="0.25">
      <c r="B2623" s="18" t="s">
        <v>31</v>
      </c>
      <c r="C2623" s="19">
        <f>40782+(3*365)</f>
        <v>41877</v>
      </c>
      <c r="D2623" s="18" t="s">
        <v>76</v>
      </c>
      <c r="E2623" s="18" t="s">
        <v>63</v>
      </c>
      <c r="F2623" s="21">
        <v>312</v>
      </c>
    </row>
    <row r="2624" spans="2:6" x14ac:dyDescent="0.25">
      <c r="B2624" s="18" t="s">
        <v>31</v>
      </c>
      <c r="C2624" s="19">
        <f>40202+(3*365)</f>
        <v>41297</v>
      </c>
      <c r="D2624" s="18" t="s">
        <v>76</v>
      </c>
      <c r="E2624" s="18" t="s">
        <v>59</v>
      </c>
      <c r="F2624" s="21">
        <v>840</v>
      </c>
    </row>
    <row r="2625" spans="2:6" x14ac:dyDescent="0.25">
      <c r="B2625" s="18" t="s">
        <v>31</v>
      </c>
      <c r="C2625" s="19">
        <f>39951+(3*365)</f>
        <v>41046</v>
      </c>
      <c r="D2625" s="18" t="s">
        <v>70</v>
      </c>
      <c r="E2625" s="18" t="s">
        <v>69</v>
      </c>
      <c r="F2625" s="21">
        <v>2376</v>
      </c>
    </row>
    <row r="2626" spans="2:6" x14ac:dyDescent="0.25">
      <c r="B2626" s="18" t="s">
        <v>11</v>
      </c>
      <c r="C2626" s="19">
        <f>39889+(3*365)</f>
        <v>40984</v>
      </c>
      <c r="D2626" s="18" t="s">
        <v>74</v>
      </c>
      <c r="E2626" s="18" t="s">
        <v>59</v>
      </c>
      <c r="F2626" s="21">
        <v>570</v>
      </c>
    </row>
    <row r="2627" spans="2:6" x14ac:dyDescent="0.25">
      <c r="B2627" s="18" t="s">
        <v>8</v>
      </c>
      <c r="C2627" s="19">
        <f>41053+(3*365)</f>
        <v>42148</v>
      </c>
      <c r="D2627" s="18" t="s">
        <v>81</v>
      </c>
      <c r="E2627" s="18" t="s">
        <v>72</v>
      </c>
      <c r="F2627" s="21">
        <v>608</v>
      </c>
    </row>
    <row r="2628" spans="2:6" x14ac:dyDescent="0.25">
      <c r="B2628" s="18" t="s">
        <v>21</v>
      </c>
      <c r="C2628" s="19">
        <f>40631+(3*365)</f>
        <v>41726</v>
      </c>
      <c r="D2628" s="18" t="s">
        <v>58</v>
      </c>
      <c r="E2628" s="18" t="s">
        <v>61</v>
      </c>
      <c r="F2628" s="21">
        <v>837</v>
      </c>
    </row>
    <row r="2629" spans="2:6" x14ac:dyDescent="0.25">
      <c r="B2629" s="18" t="s">
        <v>11</v>
      </c>
      <c r="C2629" s="19">
        <f>40882+(3*365)</f>
        <v>41977</v>
      </c>
      <c r="D2629" s="18" t="s">
        <v>74</v>
      </c>
      <c r="E2629" s="18" t="s">
        <v>75</v>
      </c>
      <c r="F2629" s="21">
        <v>408</v>
      </c>
    </row>
    <row r="2630" spans="2:6" x14ac:dyDescent="0.25">
      <c r="B2630" s="18" t="s">
        <v>18</v>
      </c>
      <c r="C2630" s="19">
        <f>41190+(3*365)</f>
        <v>42285</v>
      </c>
      <c r="D2630" s="18" t="s">
        <v>71</v>
      </c>
      <c r="E2630" s="18" t="s">
        <v>75</v>
      </c>
      <c r="F2630" s="21">
        <v>102</v>
      </c>
    </row>
    <row r="2631" spans="2:6" x14ac:dyDescent="0.25">
      <c r="B2631" s="18" t="s">
        <v>10</v>
      </c>
      <c r="C2631" s="19">
        <f>40129+(3*365)</f>
        <v>41224</v>
      </c>
      <c r="D2631" s="18" t="s">
        <v>65</v>
      </c>
      <c r="E2631" s="18" t="s">
        <v>64</v>
      </c>
      <c r="F2631" s="21">
        <v>6496</v>
      </c>
    </row>
    <row r="2632" spans="2:6" x14ac:dyDescent="0.25">
      <c r="B2632" s="18" t="s">
        <v>31</v>
      </c>
      <c r="C2632" s="19">
        <f>40335+(3*365)</f>
        <v>41430</v>
      </c>
      <c r="D2632" s="18" t="s">
        <v>70</v>
      </c>
      <c r="E2632" s="18" t="s">
        <v>63</v>
      </c>
      <c r="F2632" s="21">
        <v>1080</v>
      </c>
    </row>
    <row r="2633" spans="2:6" x14ac:dyDescent="0.25">
      <c r="B2633" s="18" t="s">
        <v>8</v>
      </c>
      <c r="C2633" s="19">
        <f>40213+(3*365)</f>
        <v>41308</v>
      </c>
      <c r="D2633" s="18" t="s">
        <v>77</v>
      </c>
      <c r="E2633" s="18" t="s">
        <v>64</v>
      </c>
      <c r="F2633" s="21">
        <v>13260</v>
      </c>
    </row>
    <row r="2634" spans="2:6" x14ac:dyDescent="0.25">
      <c r="B2634" s="18" t="s">
        <v>11</v>
      </c>
      <c r="C2634" s="19">
        <f>39917+(3*365)</f>
        <v>41012</v>
      </c>
      <c r="D2634" s="18" t="s">
        <v>74</v>
      </c>
      <c r="E2634" s="18" t="s">
        <v>59</v>
      </c>
      <c r="F2634" s="21">
        <v>186</v>
      </c>
    </row>
    <row r="2635" spans="2:6" x14ac:dyDescent="0.25">
      <c r="B2635" s="18" t="s">
        <v>31</v>
      </c>
      <c r="C2635" s="19">
        <f>40715+(3*365)</f>
        <v>41810</v>
      </c>
      <c r="D2635" s="18" t="s">
        <v>70</v>
      </c>
      <c r="E2635" s="18" t="s">
        <v>75</v>
      </c>
      <c r="F2635" s="21">
        <v>666</v>
      </c>
    </row>
    <row r="2636" spans="2:6" x14ac:dyDescent="0.25">
      <c r="B2636" s="18" t="s">
        <v>25</v>
      </c>
      <c r="C2636" s="19">
        <f>41001+(3*365)</f>
        <v>42096</v>
      </c>
      <c r="D2636" s="18" t="s">
        <v>79</v>
      </c>
      <c r="E2636" s="18" t="s">
        <v>66</v>
      </c>
      <c r="F2636" s="21">
        <v>142</v>
      </c>
    </row>
    <row r="2637" spans="2:6" x14ac:dyDescent="0.25">
      <c r="B2637" s="18" t="s">
        <v>18</v>
      </c>
      <c r="C2637" s="19">
        <f>40046+(3*365)</f>
        <v>41141</v>
      </c>
      <c r="D2637" s="18" t="s">
        <v>71</v>
      </c>
      <c r="E2637" s="18" t="s">
        <v>75</v>
      </c>
      <c r="F2637" s="21">
        <v>40</v>
      </c>
    </row>
    <row r="2638" spans="2:6" x14ac:dyDescent="0.25">
      <c r="B2638" s="18" t="s">
        <v>8</v>
      </c>
      <c r="C2638" s="19">
        <f>40144+(3*365)</f>
        <v>41239</v>
      </c>
      <c r="D2638" s="18" t="s">
        <v>81</v>
      </c>
      <c r="E2638" s="18" t="s">
        <v>75</v>
      </c>
      <c r="F2638" s="21">
        <v>612</v>
      </c>
    </row>
    <row r="2639" spans="2:6" x14ac:dyDescent="0.25">
      <c r="B2639" s="18" t="s">
        <v>18</v>
      </c>
      <c r="C2639" s="19">
        <f>40958+(3*365)</f>
        <v>42053</v>
      </c>
      <c r="D2639" s="18" t="s">
        <v>68</v>
      </c>
      <c r="E2639" s="18" t="s">
        <v>72</v>
      </c>
      <c r="F2639" s="21">
        <v>5832</v>
      </c>
    </row>
    <row r="2640" spans="2:6" x14ac:dyDescent="0.25">
      <c r="B2640" s="18" t="s">
        <v>31</v>
      </c>
      <c r="C2640" s="19">
        <f>40788+(3*365)</f>
        <v>41883</v>
      </c>
      <c r="D2640" s="18" t="s">
        <v>70</v>
      </c>
      <c r="E2640" s="18" t="s">
        <v>59</v>
      </c>
      <c r="F2640" s="21">
        <v>171</v>
      </c>
    </row>
    <row r="2641" spans="2:6" x14ac:dyDescent="0.25">
      <c r="B2641" s="18" t="s">
        <v>8</v>
      </c>
      <c r="C2641" s="19">
        <f>40105+(3*365)</f>
        <v>41200</v>
      </c>
      <c r="D2641" s="18" t="s">
        <v>81</v>
      </c>
      <c r="E2641" s="18" t="s">
        <v>75</v>
      </c>
      <c r="F2641" s="21">
        <v>30</v>
      </c>
    </row>
    <row r="2642" spans="2:6" x14ac:dyDescent="0.25">
      <c r="B2642" s="18" t="s">
        <v>31</v>
      </c>
      <c r="C2642" s="19">
        <f>41194+(3*365)</f>
        <v>42289</v>
      </c>
      <c r="D2642" s="18" t="s">
        <v>70</v>
      </c>
      <c r="E2642" s="18" t="s">
        <v>66</v>
      </c>
      <c r="F2642" s="21">
        <v>1110</v>
      </c>
    </row>
    <row r="2643" spans="2:6" x14ac:dyDescent="0.25">
      <c r="B2643" s="18" t="s">
        <v>31</v>
      </c>
      <c r="C2643" s="19">
        <f>40357+(3*365)</f>
        <v>41452</v>
      </c>
      <c r="D2643" s="18" t="s">
        <v>70</v>
      </c>
      <c r="E2643" s="18" t="s">
        <v>59</v>
      </c>
      <c r="F2643" s="21">
        <v>216</v>
      </c>
    </row>
    <row r="2644" spans="2:6" x14ac:dyDescent="0.25">
      <c r="B2644" s="18" t="s">
        <v>21</v>
      </c>
      <c r="C2644" s="19">
        <f>40617+(3*365)</f>
        <v>41712</v>
      </c>
      <c r="D2644" s="18" t="s">
        <v>73</v>
      </c>
      <c r="E2644" s="18" t="s">
        <v>64</v>
      </c>
      <c r="F2644" s="21">
        <v>3960</v>
      </c>
    </row>
    <row r="2645" spans="2:6" x14ac:dyDescent="0.25">
      <c r="B2645" s="18" t="s">
        <v>11</v>
      </c>
      <c r="C2645" s="19">
        <f>40448+(3*365)</f>
        <v>41543</v>
      </c>
      <c r="D2645" s="18" t="s">
        <v>74</v>
      </c>
      <c r="E2645" s="18" t="s">
        <v>72</v>
      </c>
      <c r="F2645" s="21">
        <v>6027</v>
      </c>
    </row>
    <row r="2646" spans="2:6" x14ac:dyDescent="0.25">
      <c r="B2646" s="18" t="s">
        <v>9</v>
      </c>
      <c r="C2646" s="19">
        <f>40510+(3*365)</f>
        <v>41605</v>
      </c>
      <c r="D2646" s="18" t="s">
        <v>80</v>
      </c>
      <c r="E2646" s="18" t="s">
        <v>72</v>
      </c>
      <c r="F2646" s="21">
        <v>1404</v>
      </c>
    </row>
    <row r="2647" spans="2:6" x14ac:dyDescent="0.25">
      <c r="B2647" s="18" t="s">
        <v>31</v>
      </c>
      <c r="C2647" s="19">
        <f>39959+(3*365)</f>
        <v>41054</v>
      </c>
      <c r="D2647" s="18" t="s">
        <v>76</v>
      </c>
      <c r="E2647" s="18" t="s">
        <v>75</v>
      </c>
      <c r="F2647" s="21">
        <v>288</v>
      </c>
    </row>
    <row r="2648" spans="2:6" x14ac:dyDescent="0.25">
      <c r="B2648" s="18" t="s">
        <v>8</v>
      </c>
      <c r="C2648" s="19">
        <f>40189+(3*365)</f>
        <v>41284</v>
      </c>
      <c r="D2648" s="18" t="s">
        <v>81</v>
      </c>
      <c r="E2648" s="18" t="s">
        <v>75</v>
      </c>
      <c r="F2648" s="21">
        <v>1280</v>
      </c>
    </row>
    <row r="2649" spans="2:6" x14ac:dyDescent="0.25">
      <c r="B2649" s="18" t="s">
        <v>18</v>
      </c>
      <c r="C2649" s="19">
        <f>40814+(3*365)</f>
        <v>41909</v>
      </c>
      <c r="D2649" s="18" t="s">
        <v>71</v>
      </c>
      <c r="E2649" s="18" t="s">
        <v>72</v>
      </c>
      <c r="F2649" s="21">
        <v>6816</v>
      </c>
    </row>
    <row r="2650" spans="2:6" x14ac:dyDescent="0.25">
      <c r="B2650" s="18" t="s">
        <v>8</v>
      </c>
      <c r="C2650" s="19">
        <f>40080+(3*365)</f>
        <v>41175</v>
      </c>
      <c r="D2650" s="18" t="s">
        <v>77</v>
      </c>
      <c r="E2650" s="18" t="s">
        <v>75</v>
      </c>
      <c r="F2650" s="21">
        <v>225</v>
      </c>
    </row>
    <row r="2651" spans="2:6" x14ac:dyDescent="0.25">
      <c r="B2651" s="18" t="s">
        <v>8</v>
      </c>
      <c r="C2651" s="19">
        <f>39879+(3*365)</f>
        <v>40974</v>
      </c>
      <c r="D2651" s="18" t="s">
        <v>81</v>
      </c>
      <c r="E2651" s="18" t="s">
        <v>75</v>
      </c>
      <c r="F2651" s="21">
        <v>648</v>
      </c>
    </row>
    <row r="2652" spans="2:6" x14ac:dyDescent="0.25">
      <c r="B2652" s="18" t="s">
        <v>31</v>
      </c>
      <c r="C2652" s="19">
        <f>40377+(3*365)</f>
        <v>41472</v>
      </c>
      <c r="D2652" s="18" t="s">
        <v>76</v>
      </c>
      <c r="E2652" s="18" t="s">
        <v>59</v>
      </c>
      <c r="F2652" s="21">
        <v>168</v>
      </c>
    </row>
    <row r="2653" spans="2:6" x14ac:dyDescent="0.25">
      <c r="B2653" s="18" t="s">
        <v>21</v>
      </c>
      <c r="C2653" s="19">
        <f>40697+(3*365)</f>
        <v>41792</v>
      </c>
      <c r="D2653" s="18" t="s">
        <v>73</v>
      </c>
      <c r="E2653" s="18" t="s">
        <v>72</v>
      </c>
      <c r="F2653" s="21">
        <v>2415</v>
      </c>
    </row>
    <row r="2654" spans="2:6" x14ac:dyDescent="0.25">
      <c r="B2654" s="18" t="s">
        <v>8</v>
      </c>
      <c r="C2654" s="19">
        <f>41227+(3*365)</f>
        <v>42322</v>
      </c>
      <c r="D2654" s="18" t="s">
        <v>77</v>
      </c>
      <c r="E2654" s="18" t="s">
        <v>64</v>
      </c>
      <c r="F2654" s="21">
        <v>14640</v>
      </c>
    </row>
    <row r="2655" spans="2:6" x14ac:dyDescent="0.25">
      <c r="B2655" s="18" t="s">
        <v>31</v>
      </c>
      <c r="C2655" s="19">
        <f>41217+(3*365)</f>
        <v>42312</v>
      </c>
      <c r="D2655" s="18" t="s">
        <v>76</v>
      </c>
      <c r="E2655" s="18" t="s">
        <v>72</v>
      </c>
      <c r="F2655" s="21">
        <v>3468</v>
      </c>
    </row>
    <row r="2656" spans="2:6" x14ac:dyDescent="0.25">
      <c r="B2656" s="18" t="s">
        <v>31</v>
      </c>
      <c r="C2656" s="19">
        <f>40701+(3*365)</f>
        <v>41796</v>
      </c>
      <c r="D2656" s="18" t="s">
        <v>70</v>
      </c>
      <c r="E2656" s="18" t="s">
        <v>59</v>
      </c>
      <c r="F2656" s="21">
        <v>288</v>
      </c>
    </row>
    <row r="2657" spans="2:6" x14ac:dyDescent="0.25">
      <c r="B2657" s="18" t="s">
        <v>8</v>
      </c>
      <c r="C2657" s="19">
        <f>41225+(3*365)</f>
        <v>42320</v>
      </c>
      <c r="D2657" s="18" t="s">
        <v>81</v>
      </c>
      <c r="E2657" s="18" t="s">
        <v>66</v>
      </c>
      <c r="F2657" s="21">
        <v>280</v>
      </c>
    </row>
    <row r="2658" spans="2:6" x14ac:dyDescent="0.25">
      <c r="B2658" s="18" t="s">
        <v>18</v>
      </c>
      <c r="C2658" s="19">
        <f>40262+(3*365)</f>
        <v>41357</v>
      </c>
      <c r="D2658" s="18" t="s">
        <v>71</v>
      </c>
      <c r="E2658" s="18" t="s">
        <v>75</v>
      </c>
      <c r="F2658" s="21">
        <v>51</v>
      </c>
    </row>
    <row r="2659" spans="2:6" x14ac:dyDescent="0.25">
      <c r="B2659" s="18" t="s">
        <v>8</v>
      </c>
      <c r="C2659" s="19">
        <f>40244+(3*365)</f>
        <v>41339</v>
      </c>
      <c r="D2659" s="18" t="s">
        <v>81</v>
      </c>
      <c r="E2659" s="18" t="s">
        <v>72</v>
      </c>
      <c r="F2659" s="21">
        <v>2272</v>
      </c>
    </row>
    <row r="2660" spans="2:6" x14ac:dyDescent="0.25">
      <c r="B2660" s="18" t="s">
        <v>25</v>
      </c>
      <c r="C2660" s="19">
        <f>40570+(3*365)</f>
        <v>41665</v>
      </c>
      <c r="D2660" s="18" t="s">
        <v>79</v>
      </c>
      <c r="E2660" s="18" t="s">
        <v>69</v>
      </c>
      <c r="F2660" s="21">
        <v>4984</v>
      </c>
    </row>
    <row r="2661" spans="2:6" x14ac:dyDescent="0.25">
      <c r="B2661" s="18" t="s">
        <v>11</v>
      </c>
      <c r="C2661" s="19">
        <f>41152+(3*365)</f>
        <v>42247</v>
      </c>
      <c r="D2661" s="18" t="s">
        <v>74</v>
      </c>
      <c r="E2661" s="18" t="s">
        <v>75</v>
      </c>
      <c r="F2661" s="21">
        <v>280</v>
      </c>
    </row>
    <row r="2662" spans="2:6" x14ac:dyDescent="0.25">
      <c r="B2662" s="18" t="s">
        <v>8</v>
      </c>
      <c r="C2662" s="19">
        <f>40401+(3*365)</f>
        <v>41496</v>
      </c>
      <c r="D2662" s="18" t="s">
        <v>81</v>
      </c>
      <c r="E2662" s="18" t="s">
        <v>64</v>
      </c>
      <c r="F2662" s="21">
        <v>8988</v>
      </c>
    </row>
    <row r="2663" spans="2:6" x14ac:dyDescent="0.25">
      <c r="B2663" s="18" t="s">
        <v>10</v>
      </c>
      <c r="C2663" s="19">
        <f>40776+(3*365)</f>
        <v>41871</v>
      </c>
      <c r="D2663" s="18" t="s">
        <v>65</v>
      </c>
      <c r="E2663" s="18" t="s">
        <v>66</v>
      </c>
      <c r="F2663" s="21">
        <v>240</v>
      </c>
    </row>
    <row r="2664" spans="2:6" x14ac:dyDescent="0.25">
      <c r="B2664" s="18" t="s">
        <v>31</v>
      </c>
      <c r="C2664" s="19">
        <f>41099+(3*365)</f>
        <v>42194</v>
      </c>
      <c r="D2664" s="18" t="s">
        <v>76</v>
      </c>
      <c r="E2664" s="18" t="s">
        <v>75</v>
      </c>
      <c r="F2664" s="21">
        <v>912</v>
      </c>
    </row>
    <row r="2665" spans="2:6" x14ac:dyDescent="0.25">
      <c r="B2665" s="18" t="s">
        <v>18</v>
      </c>
      <c r="C2665" s="19">
        <f>40647+(3*365)</f>
        <v>41742</v>
      </c>
      <c r="D2665" s="18" t="s">
        <v>68</v>
      </c>
      <c r="E2665" s="18" t="s">
        <v>64</v>
      </c>
      <c r="F2665" s="21">
        <v>2088</v>
      </c>
    </row>
    <row r="2666" spans="2:6" x14ac:dyDescent="0.25">
      <c r="B2666" s="18" t="s">
        <v>8</v>
      </c>
      <c r="C2666" s="19">
        <f>40743+(3*365)</f>
        <v>41838</v>
      </c>
      <c r="D2666" s="18" t="s">
        <v>77</v>
      </c>
      <c r="E2666" s="18" t="s">
        <v>59</v>
      </c>
      <c r="F2666" s="21">
        <v>208</v>
      </c>
    </row>
    <row r="2667" spans="2:6" x14ac:dyDescent="0.25">
      <c r="B2667" s="18" t="s">
        <v>25</v>
      </c>
      <c r="C2667" s="19">
        <f>40673+(3*365)</f>
        <v>41768</v>
      </c>
      <c r="D2667" s="18" t="s">
        <v>79</v>
      </c>
      <c r="E2667" s="18" t="s">
        <v>69</v>
      </c>
      <c r="F2667" s="21">
        <v>2384</v>
      </c>
    </row>
    <row r="2668" spans="2:6" x14ac:dyDescent="0.25">
      <c r="B2668" s="18" t="s">
        <v>18</v>
      </c>
      <c r="C2668" s="19">
        <f>40231+(3*365)</f>
        <v>41326</v>
      </c>
      <c r="D2668" s="18" t="s">
        <v>68</v>
      </c>
      <c r="E2668" s="18" t="s">
        <v>64</v>
      </c>
      <c r="F2668" s="21">
        <v>6606</v>
      </c>
    </row>
    <row r="2669" spans="2:6" x14ac:dyDescent="0.25">
      <c r="B2669" s="18" t="s">
        <v>25</v>
      </c>
      <c r="C2669" s="19">
        <f>40889+(3*365)</f>
        <v>41984</v>
      </c>
      <c r="D2669" s="18" t="s">
        <v>78</v>
      </c>
      <c r="E2669" s="18" t="s">
        <v>61</v>
      </c>
      <c r="F2669" s="21">
        <v>1368</v>
      </c>
    </row>
    <row r="2670" spans="2:6" x14ac:dyDescent="0.25">
      <c r="B2670" s="18" t="s">
        <v>21</v>
      </c>
      <c r="C2670" s="19">
        <f>40210+(3*365)</f>
        <v>41305</v>
      </c>
      <c r="D2670" s="18" t="s">
        <v>58</v>
      </c>
      <c r="E2670" s="18" t="s">
        <v>61</v>
      </c>
      <c r="F2670" s="21">
        <v>164</v>
      </c>
    </row>
    <row r="2671" spans="2:6" x14ac:dyDescent="0.25">
      <c r="B2671" s="18" t="s">
        <v>8</v>
      </c>
      <c r="C2671" s="19">
        <f>40605+(3*365)</f>
        <v>41700</v>
      </c>
      <c r="D2671" s="18" t="s">
        <v>81</v>
      </c>
      <c r="E2671" s="18" t="s">
        <v>59</v>
      </c>
      <c r="F2671" s="21">
        <v>864</v>
      </c>
    </row>
    <row r="2672" spans="2:6" x14ac:dyDescent="0.25">
      <c r="B2672" s="18" t="s">
        <v>8</v>
      </c>
      <c r="C2672" s="19">
        <f>41136+(3*365)</f>
        <v>42231</v>
      </c>
      <c r="D2672" s="18" t="s">
        <v>77</v>
      </c>
      <c r="E2672" s="18" t="s">
        <v>66</v>
      </c>
      <c r="F2672" s="21">
        <v>324</v>
      </c>
    </row>
    <row r="2673" spans="2:6" x14ac:dyDescent="0.25">
      <c r="B2673" s="18" t="s">
        <v>18</v>
      </c>
      <c r="C2673" s="19">
        <f>40059+(3*365)</f>
        <v>41154</v>
      </c>
      <c r="D2673" s="18" t="s">
        <v>71</v>
      </c>
      <c r="E2673" s="18" t="s">
        <v>69</v>
      </c>
      <c r="F2673" s="21">
        <v>376</v>
      </c>
    </row>
    <row r="2674" spans="2:6" x14ac:dyDescent="0.25">
      <c r="B2674" s="18" t="s">
        <v>8</v>
      </c>
      <c r="C2674" s="19">
        <f>40888+(3*365)</f>
        <v>41983</v>
      </c>
      <c r="D2674" s="18" t="s">
        <v>81</v>
      </c>
      <c r="E2674" s="18" t="s">
        <v>72</v>
      </c>
      <c r="F2674" s="21">
        <v>3360</v>
      </c>
    </row>
    <row r="2675" spans="2:6" x14ac:dyDescent="0.25">
      <c r="B2675" s="18" t="s">
        <v>18</v>
      </c>
      <c r="C2675" s="19">
        <f>40834+(3*365)</f>
        <v>41929</v>
      </c>
      <c r="D2675" s="18" t="s">
        <v>71</v>
      </c>
      <c r="E2675" s="18" t="s">
        <v>75</v>
      </c>
      <c r="F2675" s="21">
        <v>728</v>
      </c>
    </row>
    <row r="2676" spans="2:6" x14ac:dyDescent="0.25">
      <c r="B2676" s="18" t="s">
        <v>31</v>
      </c>
      <c r="C2676" s="19">
        <f>40552+(3*365)</f>
        <v>41647</v>
      </c>
      <c r="D2676" s="18" t="s">
        <v>70</v>
      </c>
      <c r="E2676" s="18" t="s">
        <v>63</v>
      </c>
      <c r="F2676" s="21">
        <v>960</v>
      </c>
    </row>
    <row r="2677" spans="2:6" x14ac:dyDescent="0.25">
      <c r="B2677" s="18" t="s">
        <v>18</v>
      </c>
      <c r="C2677" s="19">
        <f>40178+(3*365)</f>
        <v>41273</v>
      </c>
      <c r="D2677" s="18" t="s">
        <v>71</v>
      </c>
      <c r="E2677" s="18" t="s">
        <v>61</v>
      </c>
      <c r="F2677" s="21">
        <v>868</v>
      </c>
    </row>
    <row r="2678" spans="2:6" x14ac:dyDescent="0.25">
      <c r="B2678" s="18" t="s">
        <v>21</v>
      </c>
      <c r="C2678" s="19">
        <f>39952+(3*365)</f>
        <v>41047</v>
      </c>
      <c r="D2678" s="18" t="s">
        <v>58</v>
      </c>
      <c r="E2678" s="18" t="s">
        <v>69</v>
      </c>
      <c r="F2678" s="21">
        <v>1737</v>
      </c>
    </row>
    <row r="2679" spans="2:6" x14ac:dyDescent="0.25">
      <c r="B2679" s="18" t="s">
        <v>31</v>
      </c>
      <c r="C2679" s="19">
        <f>40684+(3*365)</f>
        <v>41779</v>
      </c>
      <c r="D2679" s="18" t="s">
        <v>76</v>
      </c>
      <c r="E2679" s="18" t="s">
        <v>63</v>
      </c>
      <c r="F2679" s="21">
        <v>540</v>
      </c>
    </row>
    <row r="2680" spans="2:6" x14ac:dyDescent="0.25">
      <c r="B2680" s="18" t="s">
        <v>8</v>
      </c>
      <c r="C2680" s="19">
        <f>40834+(3*365)</f>
        <v>41929</v>
      </c>
      <c r="D2680" s="18" t="s">
        <v>77</v>
      </c>
      <c r="E2680" s="18" t="s">
        <v>66</v>
      </c>
      <c r="F2680" s="21">
        <v>996</v>
      </c>
    </row>
    <row r="2681" spans="2:6" x14ac:dyDescent="0.25">
      <c r="B2681" s="18" t="s">
        <v>21</v>
      </c>
      <c r="C2681" s="19">
        <f>40159+(3*365)</f>
        <v>41254</v>
      </c>
      <c r="D2681" s="18" t="s">
        <v>73</v>
      </c>
      <c r="E2681" s="18" t="s">
        <v>66</v>
      </c>
      <c r="F2681" s="21">
        <v>256</v>
      </c>
    </row>
    <row r="2682" spans="2:6" x14ac:dyDescent="0.25">
      <c r="B2682" s="18" t="s">
        <v>25</v>
      </c>
      <c r="C2682" s="19">
        <f>40105+(3*365)</f>
        <v>41200</v>
      </c>
      <c r="D2682" s="18" t="s">
        <v>78</v>
      </c>
      <c r="E2682" s="18" t="s">
        <v>61</v>
      </c>
      <c r="F2682" s="21">
        <v>846</v>
      </c>
    </row>
    <row r="2683" spans="2:6" x14ac:dyDescent="0.25">
      <c r="B2683" s="18" t="s">
        <v>11</v>
      </c>
      <c r="C2683" s="19">
        <f>40695+(3*365)</f>
        <v>41790</v>
      </c>
      <c r="D2683" s="18" t="s">
        <v>60</v>
      </c>
      <c r="E2683" s="18" t="s">
        <v>61</v>
      </c>
      <c r="F2683" s="21">
        <v>210</v>
      </c>
    </row>
    <row r="2684" spans="2:6" x14ac:dyDescent="0.25">
      <c r="B2684" s="18" t="s">
        <v>31</v>
      </c>
      <c r="C2684" s="19">
        <f>40195+(3*365)</f>
        <v>41290</v>
      </c>
      <c r="D2684" s="18" t="s">
        <v>70</v>
      </c>
      <c r="E2684" s="18" t="s">
        <v>59</v>
      </c>
      <c r="F2684" s="21">
        <v>156</v>
      </c>
    </row>
    <row r="2685" spans="2:6" x14ac:dyDescent="0.25">
      <c r="B2685" s="18" t="s">
        <v>9</v>
      </c>
      <c r="C2685" s="19">
        <f>40501+(3*365)</f>
        <v>41596</v>
      </c>
      <c r="D2685" s="18" t="s">
        <v>62</v>
      </c>
      <c r="E2685" s="18" t="s">
        <v>75</v>
      </c>
      <c r="F2685" s="21">
        <v>216</v>
      </c>
    </row>
    <row r="2686" spans="2:6" x14ac:dyDescent="0.25">
      <c r="B2686" s="18" t="s">
        <v>8</v>
      </c>
      <c r="C2686" s="19">
        <f>41232+(3*365)</f>
        <v>42327</v>
      </c>
      <c r="D2686" s="18" t="s">
        <v>77</v>
      </c>
      <c r="E2686" s="18" t="s">
        <v>61</v>
      </c>
      <c r="F2686" s="21">
        <v>1008</v>
      </c>
    </row>
    <row r="2687" spans="2:6" x14ac:dyDescent="0.25">
      <c r="B2687" s="18" t="s">
        <v>31</v>
      </c>
      <c r="C2687" s="19">
        <f>41110+(3*365)</f>
        <v>42205</v>
      </c>
      <c r="D2687" s="18" t="s">
        <v>76</v>
      </c>
      <c r="E2687" s="18" t="s">
        <v>64</v>
      </c>
      <c r="F2687" s="21">
        <v>5490</v>
      </c>
    </row>
    <row r="2688" spans="2:6" x14ac:dyDescent="0.25">
      <c r="B2688" s="18" t="s">
        <v>21</v>
      </c>
      <c r="C2688" s="19">
        <f>40084+(3*365)</f>
        <v>41179</v>
      </c>
      <c r="D2688" s="18" t="s">
        <v>58</v>
      </c>
      <c r="E2688" s="18" t="s">
        <v>72</v>
      </c>
      <c r="F2688" s="21">
        <v>486</v>
      </c>
    </row>
    <row r="2689" spans="2:6" x14ac:dyDescent="0.25">
      <c r="B2689" s="18" t="s">
        <v>10</v>
      </c>
      <c r="C2689" s="19">
        <f>41117+(3*365)</f>
        <v>42212</v>
      </c>
      <c r="D2689" s="18" t="s">
        <v>65</v>
      </c>
      <c r="E2689" s="18" t="s">
        <v>63</v>
      </c>
      <c r="F2689" s="21">
        <v>1416</v>
      </c>
    </row>
    <row r="2690" spans="2:6" x14ac:dyDescent="0.25">
      <c r="B2690" s="18" t="s">
        <v>21</v>
      </c>
      <c r="C2690" s="19">
        <f>40164+(3*365)</f>
        <v>41259</v>
      </c>
      <c r="D2690" s="18" t="s">
        <v>58</v>
      </c>
      <c r="E2690" s="18" t="s">
        <v>61</v>
      </c>
      <c r="F2690" s="21">
        <v>343</v>
      </c>
    </row>
    <row r="2691" spans="2:6" x14ac:dyDescent="0.25">
      <c r="B2691" s="18" t="s">
        <v>8</v>
      </c>
      <c r="C2691" s="19">
        <f>40398+(3*365)</f>
        <v>41493</v>
      </c>
      <c r="D2691" s="18" t="s">
        <v>81</v>
      </c>
      <c r="E2691" s="18" t="s">
        <v>72</v>
      </c>
      <c r="F2691" s="21">
        <v>404</v>
      </c>
    </row>
    <row r="2692" spans="2:6" x14ac:dyDescent="0.25">
      <c r="B2692" s="18" t="s">
        <v>18</v>
      </c>
      <c r="C2692" s="19">
        <f>40974+(3*365)</f>
        <v>42069</v>
      </c>
      <c r="D2692" s="18" t="s">
        <v>68</v>
      </c>
      <c r="E2692" s="18" t="s">
        <v>64</v>
      </c>
      <c r="F2692" s="21">
        <v>2370</v>
      </c>
    </row>
    <row r="2693" spans="2:6" x14ac:dyDescent="0.25">
      <c r="B2693" s="18" t="s">
        <v>10</v>
      </c>
      <c r="C2693" s="19">
        <f>40313+(3*365)</f>
        <v>41408</v>
      </c>
      <c r="D2693" s="18" t="s">
        <v>65</v>
      </c>
      <c r="E2693" s="18" t="s">
        <v>72</v>
      </c>
      <c r="F2693" s="21">
        <v>3675</v>
      </c>
    </row>
    <row r="2694" spans="2:6" x14ac:dyDescent="0.25">
      <c r="B2694" s="18" t="s">
        <v>9</v>
      </c>
      <c r="C2694" s="19">
        <f>40650+(3*365)</f>
        <v>41745</v>
      </c>
      <c r="D2694" s="18" t="s">
        <v>80</v>
      </c>
      <c r="E2694" s="18" t="s">
        <v>66</v>
      </c>
      <c r="F2694" s="21">
        <v>240</v>
      </c>
    </row>
    <row r="2695" spans="2:6" x14ac:dyDescent="0.25">
      <c r="B2695" s="18" t="s">
        <v>10</v>
      </c>
      <c r="C2695" s="19">
        <f>40623+(3*365)</f>
        <v>41718</v>
      </c>
      <c r="D2695" s="18" t="s">
        <v>67</v>
      </c>
      <c r="E2695" s="18" t="s">
        <v>72</v>
      </c>
      <c r="F2695" s="21">
        <v>144</v>
      </c>
    </row>
    <row r="2696" spans="2:6" x14ac:dyDescent="0.25">
      <c r="B2696" s="18" t="s">
        <v>25</v>
      </c>
      <c r="C2696" s="19">
        <f>40180+(3*365)</f>
        <v>41275</v>
      </c>
      <c r="D2696" s="18" t="s">
        <v>78</v>
      </c>
      <c r="E2696" s="18" t="s">
        <v>61</v>
      </c>
      <c r="F2696" s="21">
        <v>75</v>
      </c>
    </row>
    <row r="2697" spans="2:6" x14ac:dyDescent="0.25">
      <c r="B2697" s="18" t="s">
        <v>8</v>
      </c>
      <c r="C2697" s="19">
        <f>39885+(3*365)</f>
        <v>40980</v>
      </c>
      <c r="D2697" s="18" t="s">
        <v>77</v>
      </c>
      <c r="E2697" s="18" t="s">
        <v>61</v>
      </c>
      <c r="F2697" s="21">
        <v>2133</v>
      </c>
    </row>
    <row r="2698" spans="2:6" x14ac:dyDescent="0.25">
      <c r="B2698" s="18" t="s">
        <v>21</v>
      </c>
      <c r="C2698" s="19">
        <f>40697+(3*365)</f>
        <v>41792</v>
      </c>
      <c r="D2698" s="18" t="s">
        <v>58</v>
      </c>
      <c r="E2698" s="18" t="s">
        <v>63</v>
      </c>
      <c r="F2698" s="21">
        <v>585</v>
      </c>
    </row>
    <row r="2699" spans="2:6" x14ac:dyDescent="0.25">
      <c r="B2699" s="18" t="s">
        <v>31</v>
      </c>
      <c r="C2699" s="19">
        <f>40218+(3*365)</f>
        <v>41313</v>
      </c>
      <c r="D2699" s="18" t="s">
        <v>76</v>
      </c>
      <c r="E2699" s="18" t="s">
        <v>72</v>
      </c>
      <c r="F2699" s="21">
        <v>585</v>
      </c>
    </row>
    <row r="2700" spans="2:6" x14ac:dyDescent="0.25">
      <c r="B2700" s="18" t="s">
        <v>9</v>
      </c>
      <c r="C2700" s="19">
        <f>39912+(3*365)</f>
        <v>41007</v>
      </c>
      <c r="D2700" s="18" t="s">
        <v>80</v>
      </c>
      <c r="E2700" s="18" t="s">
        <v>75</v>
      </c>
      <c r="F2700" s="21">
        <v>186</v>
      </c>
    </row>
    <row r="2701" spans="2:6" x14ac:dyDescent="0.25">
      <c r="B2701" s="18" t="s">
        <v>10</v>
      </c>
      <c r="C2701" s="19">
        <f>40678+(3*365)</f>
        <v>41773</v>
      </c>
      <c r="D2701" s="18" t="s">
        <v>67</v>
      </c>
      <c r="E2701" s="18" t="s">
        <v>66</v>
      </c>
      <c r="F2701" s="21">
        <v>720</v>
      </c>
    </row>
    <row r="2702" spans="2:6" x14ac:dyDescent="0.25">
      <c r="B2702" s="18" t="s">
        <v>8</v>
      </c>
      <c r="C2702" s="19">
        <f>40397+(3*365)</f>
        <v>41492</v>
      </c>
      <c r="D2702" s="18" t="s">
        <v>81</v>
      </c>
      <c r="E2702" s="18" t="s">
        <v>64</v>
      </c>
      <c r="F2702" s="21">
        <v>15520</v>
      </c>
    </row>
    <row r="2703" spans="2:6" x14ac:dyDescent="0.25">
      <c r="B2703" s="18" t="s">
        <v>25</v>
      </c>
      <c r="C2703" s="19">
        <f>40352+(3*365)</f>
        <v>41447</v>
      </c>
      <c r="D2703" s="18" t="s">
        <v>78</v>
      </c>
      <c r="E2703" s="18" t="s">
        <v>66</v>
      </c>
      <c r="F2703" s="21">
        <v>690</v>
      </c>
    </row>
    <row r="2704" spans="2:6" x14ac:dyDescent="0.25">
      <c r="B2704" s="18" t="s">
        <v>18</v>
      </c>
      <c r="C2704" s="19">
        <f>41231+(3*365)</f>
        <v>42326</v>
      </c>
      <c r="D2704" s="18" t="s">
        <v>68</v>
      </c>
      <c r="E2704" s="18" t="s">
        <v>66</v>
      </c>
      <c r="F2704" s="21">
        <v>162</v>
      </c>
    </row>
    <row r="2705" spans="2:6" x14ac:dyDescent="0.25">
      <c r="B2705" s="18" t="s">
        <v>21</v>
      </c>
      <c r="C2705" s="19">
        <f>40196+(3*365)</f>
        <v>41291</v>
      </c>
      <c r="D2705" s="18" t="s">
        <v>73</v>
      </c>
      <c r="E2705" s="18" t="s">
        <v>64</v>
      </c>
      <c r="F2705" s="21">
        <v>11124</v>
      </c>
    </row>
    <row r="2706" spans="2:6" x14ac:dyDescent="0.25">
      <c r="B2706" s="18" t="s">
        <v>31</v>
      </c>
      <c r="C2706" s="19">
        <f>40606+(3*365)</f>
        <v>41701</v>
      </c>
      <c r="D2706" s="18" t="s">
        <v>76</v>
      </c>
      <c r="E2706" s="18" t="s">
        <v>66</v>
      </c>
      <c r="F2706" s="21">
        <v>414</v>
      </c>
    </row>
    <row r="2707" spans="2:6" x14ac:dyDescent="0.25">
      <c r="B2707" s="18" t="s">
        <v>9</v>
      </c>
      <c r="C2707" s="19">
        <f>40520+(3*365)</f>
        <v>41615</v>
      </c>
      <c r="D2707" s="18" t="s">
        <v>80</v>
      </c>
      <c r="E2707" s="18" t="s">
        <v>61</v>
      </c>
      <c r="F2707" s="21">
        <v>414</v>
      </c>
    </row>
    <row r="2708" spans="2:6" x14ac:dyDescent="0.25">
      <c r="B2708" s="18" t="s">
        <v>9</v>
      </c>
      <c r="C2708" s="19">
        <f>40846+(3*365)</f>
        <v>41941</v>
      </c>
      <c r="D2708" s="18" t="s">
        <v>80</v>
      </c>
      <c r="E2708" s="18" t="s">
        <v>59</v>
      </c>
      <c r="F2708" s="21">
        <v>609</v>
      </c>
    </row>
    <row r="2709" spans="2:6" x14ac:dyDescent="0.25">
      <c r="B2709" s="18" t="s">
        <v>9</v>
      </c>
      <c r="C2709" s="19">
        <f>40220+(3*365)</f>
        <v>41315</v>
      </c>
      <c r="D2709" s="18" t="s">
        <v>62</v>
      </c>
      <c r="E2709" s="18" t="s">
        <v>66</v>
      </c>
      <c r="F2709" s="21">
        <v>558</v>
      </c>
    </row>
    <row r="2710" spans="2:6" x14ac:dyDescent="0.25">
      <c r="B2710" s="18" t="s">
        <v>18</v>
      </c>
      <c r="C2710" s="19">
        <f>40555+(3*365)</f>
        <v>41650</v>
      </c>
      <c r="D2710" s="18" t="s">
        <v>71</v>
      </c>
      <c r="E2710" s="18" t="s">
        <v>64</v>
      </c>
      <c r="F2710" s="21">
        <v>7920</v>
      </c>
    </row>
    <row r="2711" spans="2:6" x14ac:dyDescent="0.25">
      <c r="B2711" s="18" t="s">
        <v>9</v>
      </c>
      <c r="C2711" s="19">
        <f>40876+(3*365)</f>
        <v>41971</v>
      </c>
      <c r="D2711" s="18" t="s">
        <v>62</v>
      </c>
      <c r="E2711" s="18" t="s">
        <v>66</v>
      </c>
      <c r="F2711" s="21">
        <v>504</v>
      </c>
    </row>
    <row r="2712" spans="2:6" x14ac:dyDescent="0.25">
      <c r="B2712" s="18" t="s">
        <v>11</v>
      </c>
      <c r="C2712" s="19">
        <f>41198+(3*365)</f>
        <v>42293</v>
      </c>
      <c r="D2712" s="18" t="s">
        <v>60</v>
      </c>
      <c r="E2712" s="18" t="s">
        <v>63</v>
      </c>
      <c r="F2712" s="21">
        <v>500</v>
      </c>
    </row>
    <row r="2713" spans="2:6" x14ac:dyDescent="0.25">
      <c r="B2713" s="18" t="s">
        <v>10</v>
      </c>
      <c r="C2713" s="19">
        <f>40815+(3*365)</f>
        <v>41910</v>
      </c>
      <c r="D2713" s="18" t="s">
        <v>67</v>
      </c>
      <c r="E2713" s="18" t="s">
        <v>75</v>
      </c>
      <c r="F2713" s="21">
        <v>128</v>
      </c>
    </row>
    <row r="2714" spans="2:6" x14ac:dyDescent="0.25">
      <c r="B2714" s="18" t="s">
        <v>8</v>
      </c>
      <c r="C2714" s="19">
        <f>41159+(3*365)</f>
        <v>42254</v>
      </c>
      <c r="D2714" s="18" t="s">
        <v>77</v>
      </c>
      <c r="E2714" s="18" t="s">
        <v>72</v>
      </c>
      <c r="F2714" s="21">
        <v>2772</v>
      </c>
    </row>
    <row r="2715" spans="2:6" x14ac:dyDescent="0.25">
      <c r="B2715" s="18" t="s">
        <v>8</v>
      </c>
      <c r="C2715" s="19">
        <f>40967+(3*365)</f>
        <v>42062</v>
      </c>
      <c r="D2715" s="18" t="s">
        <v>81</v>
      </c>
      <c r="E2715" s="18" t="s">
        <v>66</v>
      </c>
      <c r="F2715" s="21">
        <v>128</v>
      </c>
    </row>
    <row r="2716" spans="2:6" x14ac:dyDescent="0.25">
      <c r="B2716" s="18" t="s">
        <v>11</v>
      </c>
      <c r="C2716" s="19">
        <f>41227+(3*365)</f>
        <v>42322</v>
      </c>
      <c r="D2716" s="18" t="s">
        <v>74</v>
      </c>
      <c r="E2716" s="18" t="s">
        <v>72</v>
      </c>
      <c r="F2716" s="21">
        <v>2400</v>
      </c>
    </row>
    <row r="2717" spans="2:6" x14ac:dyDescent="0.25">
      <c r="B2717" s="18" t="s">
        <v>18</v>
      </c>
      <c r="C2717" s="19">
        <f>40470+(3*365)</f>
        <v>41565</v>
      </c>
      <c r="D2717" s="18" t="s">
        <v>68</v>
      </c>
      <c r="E2717" s="18" t="s">
        <v>69</v>
      </c>
      <c r="F2717" s="21">
        <v>4887</v>
      </c>
    </row>
    <row r="2718" spans="2:6" x14ac:dyDescent="0.25">
      <c r="B2718" s="18" t="s">
        <v>8</v>
      </c>
      <c r="C2718" s="19">
        <f>41042+(3*365)</f>
        <v>42137</v>
      </c>
      <c r="D2718" s="18" t="s">
        <v>81</v>
      </c>
      <c r="E2718" s="18" t="s">
        <v>64</v>
      </c>
      <c r="F2718" s="21">
        <v>11640</v>
      </c>
    </row>
    <row r="2719" spans="2:6" x14ac:dyDescent="0.25">
      <c r="B2719" s="18" t="s">
        <v>11</v>
      </c>
      <c r="C2719" s="19">
        <f>39817+(3*365)</f>
        <v>40912</v>
      </c>
      <c r="D2719" s="18" t="s">
        <v>74</v>
      </c>
      <c r="E2719" s="18" t="s">
        <v>66</v>
      </c>
      <c r="F2719" s="21">
        <v>684</v>
      </c>
    </row>
    <row r="2720" spans="2:6" x14ac:dyDescent="0.25">
      <c r="B2720" s="18" t="s">
        <v>11</v>
      </c>
      <c r="C2720" s="19">
        <f>39975+(3*365)</f>
        <v>41070</v>
      </c>
      <c r="D2720" s="18" t="s">
        <v>60</v>
      </c>
      <c r="E2720" s="18" t="s">
        <v>75</v>
      </c>
      <c r="F2720" s="21">
        <v>132</v>
      </c>
    </row>
    <row r="2721" spans="2:6" x14ac:dyDescent="0.25">
      <c r="B2721" s="18" t="s">
        <v>9</v>
      </c>
      <c r="C2721" s="19">
        <f>41270+(3*365)</f>
        <v>42365</v>
      </c>
      <c r="D2721" s="18" t="s">
        <v>62</v>
      </c>
      <c r="E2721" s="18" t="s">
        <v>66</v>
      </c>
      <c r="F2721" s="21">
        <v>588</v>
      </c>
    </row>
    <row r="2722" spans="2:6" x14ac:dyDescent="0.25">
      <c r="B2722" s="18" t="s">
        <v>8</v>
      </c>
      <c r="C2722" s="19">
        <f>41074+(3*365)</f>
        <v>42169</v>
      </c>
      <c r="D2722" s="18" t="s">
        <v>77</v>
      </c>
      <c r="E2722" s="18" t="s">
        <v>69</v>
      </c>
      <c r="F2722" s="21">
        <v>5632</v>
      </c>
    </row>
    <row r="2723" spans="2:6" x14ac:dyDescent="0.25">
      <c r="B2723" s="18" t="s">
        <v>10</v>
      </c>
      <c r="C2723" s="19">
        <f>41227+(3*365)</f>
        <v>42322</v>
      </c>
      <c r="D2723" s="18" t="s">
        <v>65</v>
      </c>
      <c r="E2723" s="18" t="s">
        <v>64</v>
      </c>
      <c r="F2723" s="21">
        <v>1878</v>
      </c>
    </row>
    <row r="2724" spans="2:6" x14ac:dyDescent="0.25">
      <c r="B2724" s="18" t="s">
        <v>31</v>
      </c>
      <c r="C2724" s="19">
        <f>40809+(3*365)</f>
        <v>41904</v>
      </c>
      <c r="D2724" s="18" t="s">
        <v>70</v>
      </c>
      <c r="E2724" s="18" t="s">
        <v>59</v>
      </c>
      <c r="F2724" s="21">
        <v>648</v>
      </c>
    </row>
    <row r="2725" spans="2:6" x14ac:dyDescent="0.25">
      <c r="B2725" s="18" t="s">
        <v>31</v>
      </c>
      <c r="C2725" s="19">
        <f>40077+(3*365)</f>
        <v>41172</v>
      </c>
      <c r="D2725" s="18" t="s">
        <v>76</v>
      </c>
      <c r="E2725" s="18" t="s">
        <v>63</v>
      </c>
      <c r="F2725" s="21">
        <v>1656</v>
      </c>
    </row>
    <row r="2726" spans="2:6" x14ac:dyDescent="0.25">
      <c r="B2726" s="18" t="s">
        <v>31</v>
      </c>
      <c r="C2726" s="19">
        <f>40004+(3*365)</f>
        <v>41099</v>
      </c>
      <c r="D2726" s="18" t="s">
        <v>76</v>
      </c>
      <c r="E2726" s="18" t="s">
        <v>63</v>
      </c>
      <c r="F2726" s="21">
        <v>522</v>
      </c>
    </row>
    <row r="2727" spans="2:6" x14ac:dyDescent="0.25">
      <c r="B2727" s="18" t="s">
        <v>10</v>
      </c>
      <c r="C2727" s="19">
        <f>40639+(3*365)</f>
        <v>41734</v>
      </c>
      <c r="D2727" s="18" t="s">
        <v>65</v>
      </c>
      <c r="E2727" s="18" t="s">
        <v>69</v>
      </c>
      <c r="F2727" s="21">
        <v>178</v>
      </c>
    </row>
    <row r="2728" spans="2:6" x14ac:dyDescent="0.25">
      <c r="B2728" s="18" t="s">
        <v>31</v>
      </c>
      <c r="C2728" s="19">
        <f>40905+(3*365)</f>
        <v>42000</v>
      </c>
      <c r="D2728" s="18" t="s">
        <v>70</v>
      </c>
      <c r="E2728" s="18" t="s">
        <v>59</v>
      </c>
      <c r="F2728" s="21">
        <v>264</v>
      </c>
    </row>
    <row r="2729" spans="2:6" x14ac:dyDescent="0.25">
      <c r="B2729" s="18" t="s">
        <v>18</v>
      </c>
      <c r="C2729" s="19">
        <f>40365+(3*365)</f>
        <v>41460</v>
      </c>
      <c r="D2729" s="18" t="s">
        <v>68</v>
      </c>
      <c r="E2729" s="18" t="s">
        <v>63</v>
      </c>
      <c r="F2729" s="21">
        <v>120</v>
      </c>
    </row>
    <row r="2730" spans="2:6" x14ac:dyDescent="0.25">
      <c r="B2730" s="18" t="s">
        <v>8</v>
      </c>
      <c r="C2730" s="19">
        <f>40026+(3*365)</f>
        <v>41121</v>
      </c>
      <c r="D2730" s="18" t="s">
        <v>77</v>
      </c>
      <c r="E2730" s="18" t="s">
        <v>59</v>
      </c>
      <c r="F2730" s="21">
        <v>432</v>
      </c>
    </row>
    <row r="2731" spans="2:6" x14ac:dyDescent="0.25">
      <c r="B2731" s="18" t="s">
        <v>25</v>
      </c>
      <c r="C2731" s="19">
        <f>40404+(3*365)</f>
        <v>41499</v>
      </c>
      <c r="D2731" s="18" t="s">
        <v>79</v>
      </c>
      <c r="E2731" s="18" t="s">
        <v>72</v>
      </c>
      <c r="F2731" s="21">
        <v>2808</v>
      </c>
    </row>
    <row r="2732" spans="2:6" x14ac:dyDescent="0.25">
      <c r="B2732" s="18" t="s">
        <v>18</v>
      </c>
      <c r="C2732" s="19">
        <f>40051+(3*365)</f>
        <v>41146</v>
      </c>
      <c r="D2732" s="18" t="s">
        <v>71</v>
      </c>
      <c r="E2732" s="18" t="s">
        <v>72</v>
      </c>
      <c r="F2732" s="21">
        <v>376</v>
      </c>
    </row>
    <row r="2733" spans="2:6" x14ac:dyDescent="0.25">
      <c r="B2733" s="18" t="s">
        <v>21</v>
      </c>
      <c r="C2733" s="19">
        <f>40631+(3*365)</f>
        <v>41726</v>
      </c>
      <c r="D2733" s="18" t="s">
        <v>58</v>
      </c>
      <c r="E2733" s="18" t="s">
        <v>59</v>
      </c>
      <c r="F2733" s="21">
        <v>792</v>
      </c>
    </row>
    <row r="2734" spans="2:6" x14ac:dyDescent="0.25">
      <c r="B2734" s="18" t="s">
        <v>9</v>
      </c>
      <c r="C2734" s="19">
        <f>40049+(3*365)</f>
        <v>41144</v>
      </c>
      <c r="D2734" s="18" t="s">
        <v>80</v>
      </c>
      <c r="E2734" s="18" t="s">
        <v>61</v>
      </c>
      <c r="F2734" s="21">
        <v>768</v>
      </c>
    </row>
    <row r="2735" spans="2:6" x14ac:dyDescent="0.25">
      <c r="B2735" s="18" t="s">
        <v>9</v>
      </c>
      <c r="C2735" s="19">
        <f>40753+(3*365)</f>
        <v>41848</v>
      </c>
      <c r="D2735" s="18" t="s">
        <v>62</v>
      </c>
      <c r="E2735" s="18" t="s">
        <v>75</v>
      </c>
      <c r="F2735" s="21">
        <v>228</v>
      </c>
    </row>
    <row r="2736" spans="2:6" x14ac:dyDescent="0.25">
      <c r="B2736" s="18" t="s">
        <v>25</v>
      </c>
      <c r="C2736" s="19">
        <f>39924+(3*365)</f>
        <v>41019</v>
      </c>
      <c r="D2736" s="18" t="s">
        <v>79</v>
      </c>
      <c r="E2736" s="18" t="s">
        <v>61</v>
      </c>
      <c r="F2736" s="21">
        <v>330</v>
      </c>
    </row>
    <row r="2737" spans="2:6" x14ac:dyDescent="0.25">
      <c r="B2737" s="18" t="s">
        <v>21</v>
      </c>
      <c r="C2737" s="19">
        <f>40747+(3*365)</f>
        <v>41842</v>
      </c>
      <c r="D2737" s="18" t="s">
        <v>73</v>
      </c>
      <c r="E2737" s="18" t="s">
        <v>69</v>
      </c>
      <c r="F2737" s="21">
        <v>1275</v>
      </c>
    </row>
    <row r="2738" spans="2:6" x14ac:dyDescent="0.25">
      <c r="B2738" s="18" t="s">
        <v>9</v>
      </c>
      <c r="C2738" s="19">
        <f>40348+(3*365)</f>
        <v>41443</v>
      </c>
      <c r="D2738" s="18" t="s">
        <v>62</v>
      </c>
      <c r="E2738" s="18" t="s">
        <v>72</v>
      </c>
      <c r="F2738" s="21">
        <v>1550</v>
      </c>
    </row>
    <row r="2739" spans="2:6" x14ac:dyDescent="0.25">
      <c r="B2739" s="18" t="s">
        <v>8</v>
      </c>
      <c r="C2739" s="19">
        <f>40346+(3*365)</f>
        <v>41441</v>
      </c>
      <c r="D2739" s="18" t="s">
        <v>81</v>
      </c>
      <c r="E2739" s="18" t="s">
        <v>72</v>
      </c>
      <c r="F2739" s="21">
        <v>2316</v>
      </c>
    </row>
    <row r="2740" spans="2:6" x14ac:dyDescent="0.25">
      <c r="B2740" s="18" t="s">
        <v>10</v>
      </c>
      <c r="C2740" s="19">
        <f>40831+(3*365)</f>
        <v>41926</v>
      </c>
      <c r="D2740" s="18" t="s">
        <v>67</v>
      </c>
      <c r="E2740" s="18" t="s">
        <v>66</v>
      </c>
      <c r="F2740" s="21">
        <v>756</v>
      </c>
    </row>
    <row r="2741" spans="2:6" x14ac:dyDescent="0.25">
      <c r="B2741" s="18" t="s">
        <v>9</v>
      </c>
      <c r="C2741" s="19">
        <f>40702+(3*365)</f>
        <v>41797</v>
      </c>
      <c r="D2741" s="18" t="s">
        <v>62</v>
      </c>
      <c r="E2741" s="18" t="s">
        <v>64</v>
      </c>
      <c r="F2741" s="21">
        <v>6408</v>
      </c>
    </row>
    <row r="2742" spans="2:6" x14ac:dyDescent="0.25">
      <c r="B2742" s="18" t="s">
        <v>18</v>
      </c>
      <c r="C2742" s="19">
        <f>40882+(3*365)</f>
        <v>41977</v>
      </c>
      <c r="D2742" s="18" t="s">
        <v>71</v>
      </c>
      <c r="E2742" s="18" t="s">
        <v>75</v>
      </c>
      <c r="F2742" s="21">
        <v>400</v>
      </c>
    </row>
    <row r="2743" spans="2:6" x14ac:dyDescent="0.25">
      <c r="B2743" s="18" t="s">
        <v>10</v>
      </c>
      <c r="C2743" s="19">
        <f>39907+(3*365)</f>
        <v>41002</v>
      </c>
      <c r="D2743" s="18" t="s">
        <v>65</v>
      </c>
      <c r="E2743" s="18" t="s">
        <v>66</v>
      </c>
      <c r="F2743" s="21">
        <v>1416</v>
      </c>
    </row>
    <row r="2744" spans="2:6" x14ac:dyDescent="0.25">
      <c r="B2744" s="18" t="s">
        <v>11</v>
      </c>
      <c r="C2744" s="19">
        <f>40981+(3*365)</f>
        <v>42076</v>
      </c>
      <c r="D2744" s="18" t="s">
        <v>60</v>
      </c>
      <c r="E2744" s="18" t="s">
        <v>59</v>
      </c>
      <c r="F2744" s="21">
        <v>756</v>
      </c>
    </row>
    <row r="2745" spans="2:6" x14ac:dyDescent="0.25">
      <c r="B2745" s="18" t="s">
        <v>10</v>
      </c>
      <c r="C2745" s="19">
        <f>40895+(3*365)</f>
        <v>41990</v>
      </c>
      <c r="D2745" s="18" t="s">
        <v>67</v>
      </c>
      <c r="E2745" s="18" t="s">
        <v>72</v>
      </c>
      <c r="F2745" s="21">
        <v>1566</v>
      </c>
    </row>
    <row r="2746" spans="2:6" x14ac:dyDescent="0.25">
      <c r="B2746" s="18" t="s">
        <v>18</v>
      </c>
      <c r="C2746" s="19">
        <f>40996+(3*365)</f>
        <v>42091</v>
      </c>
      <c r="D2746" s="18" t="s">
        <v>71</v>
      </c>
      <c r="E2746" s="18" t="s">
        <v>59</v>
      </c>
      <c r="F2746" s="21">
        <v>567</v>
      </c>
    </row>
    <row r="2747" spans="2:6" x14ac:dyDescent="0.25">
      <c r="B2747" s="18" t="s">
        <v>25</v>
      </c>
      <c r="C2747" s="19">
        <f>39902+(3*365)</f>
        <v>40997</v>
      </c>
      <c r="D2747" s="18" t="s">
        <v>78</v>
      </c>
      <c r="E2747" s="18" t="s">
        <v>59</v>
      </c>
      <c r="F2747" s="21">
        <v>256</v>
      </c>
    </row>
    <row r="2748" spans="2:6" x14ac:dyDescent="0.25">
      <c r="B2748" s="18" t="s">
        <v>9</v>
      </c>
      <c r="C2748" s="19">
        <f>40981+(3*365)</f>
        <v>42076</v>
      </c>
      <c r="D2748" s="18" t="s">
        <v>62</v>
      </c>
      <c r="E2748" s="18" t="s">
        <v>66</v>
      </c>
      <c r="F2748" s="21">
        <v>168</v>
      </c>
    </row>
    <row r="2749" spans="2:6" x14ac:dyDescent="0.25">
      <c r="B2749" s="18" t="s">
        <v>8</v>
      </c>
      <c r="C2749" s="19">
        <f>40114+(3*365)</f>
        <v>41209</v>
      </c>
      <c r="D2749" s="18" t="s">
        <v>77</v>
      </c>
      <c r="E2749" s="18" t="s">
        <v>64</v>
      </c>
      <c r="F2749" s="21">
        <v>14784</v>
      </c>
    </row>
    <row r="2750" spans="2:6" x14ac:dyDescent="0.25">
      <c r="B2750" s="18" t="s">
        <v>8</v>
      </c>
      <c r="C2750" s="19">
        <f>41183+(3*365)</f>
        <v>42278</v>
      </c>
      <c r="D2750" s="18" t="s">
        <v>77</v>
      </c>
      <c r="E2750" s="18" t="s">
        <v>64</v>
      </c>
      <c r="F2750" s="21">
        <v>17448</v>
      </c>
    </row>
    <row r="2751" spans="2:6" x14ac:dyDescent="0.25">
      <c r="B2751" s="18" t="s">
        <v>25</v>
      </c>
      <c r="C2751" s="19">
        <f>40901+(3*365)</f>
        <v>41996</v>
      </c>
      <c r="D2751" s="18" t="s">
        <v>79</v>
      </c>
      <c r="E2751" s="18" t="s">
        <v>59</v>
      </c>
      <c r="F2751" s="21">
        <v>120</v>
      </c>
    </row>
    <row r="2752" spans="2:6" x14ac:dyDescent="0.25">
      <c r="B2752" s="18" t="s">
        <v>11</v>
      </c>
      <c r="C2752" s="19">
        <f>41056+(3*365)</f>
        <v>42151</v>
      </c>
      <c r="D2752" s="18" t="s">
        <v>60</v>
      </c>
      <c r="E2752" s="18" t="s">
        <v>64</v>
      </c>
      <c r="F2752" s="21">
        <v>11312</v>
      </c>
    </row>
    <row r="2753" spans="2:6" x14ac:dyDescent="0.25">
      <c r="B2753" s="18" t="s">
        <v>9</v>
      </c>
      <c r="C2753" s="19">
        <f>40833+(3*365)</f>
        <v>41928</v>
      </c>
      <c r="D2753" s="18" t="s">
        <v>80</v>
      </c>
      <c r="E2753" s="18" t="s">
        <v>64</v>
      </c>
      <c r="F2753" s="21">
        <v>3144</v>
      </c>
    </row>
    <row r="2754" spans="2:6" x14ac:dyDescent="0.25">
      <c r="B2754" s="18" t="s">
        <v>18</v>
      </c>
      <c r="C2754" s="19">
        <f>40063+(3*365)</f>
        <v>41158</v>
      </c>
      <c r="D2754" s="18" t="s">
        <v>71</v>
      </c>
      <c r="E2754" s="18" t="s">
        <v>64</v>
      </c>
      <c r="F2754" s="21">
        <v>1920</v>
      </c>
    </row>
    <row r="2755" spans="2:6" x14ac:dyDescent="0.25">
      <c r="B2755" s="18" t="s">
        <v>18</v>
      </c>
      <c r="C2755" s="19">
        <f>39954+(3*365)</f>
        <v>41049</v>
      </c>
      <c r="D2755" s="18" t="s">
        <v>71</v>
      </c>
      <c r="E2755" s="18" t="s">
        <v>69</v>
      </c>
      <c r="F2755" s="21">
        <v>1284</v>
      </c>
    </row>
    <row r="2756" spans="2:6" x14ac:dyDescent="0.25">
      <c r="B2756" s="18" t="s">
        <v>21</v>
      </c>
      <c r="C2756" s="19">
        <f>40233+(3*365)</f>
        <v>41328</v>
      </c>
      <c r="D2756" s="18" t="s">
        <v>58</v>
      </c>
      <c r="E2756" s="18" t="s">
        <v>75</v>
      </c>
      <c r="F2756" s="21">
        <v>152</v>
      </c>
    </row>
    <row r="2757" spans="2:6" x14ac:dyDescent="0.25">
      <c r="B2757" s="18" t="s">
        <v>9</v>
      </c>
      <c r="C2757" s="19">
        <f>40025+(3*365)</f>
        <v>41120</v>
      </c>
      <c r="D2757" s="18" t="s">
        <v>62</v>
      </c>
      <c r="E2757" s="18" t="s">
        <v>61</v>
      </c>
      <c r="F2757" s="21">
        <v>420</v>
      </c>
    </row>
    <row r="2758" spans="2:6" x14ac:dyDescent="0.25">
      <c r="B2758" s="18" t="s">
        <v>8</v>
      </c>
      <c r="C2758" s="19">
        <f>40692+(3*365)</f>
        <v>41787</v>
      </c>
      <c r="D2758" s="18" t="s">
        <v>81</v>
      </c>
      <c r="E2758" s="18" t="s">
        <v>66</v>
      </c>
      <c r="F2758" s="21">
        <v>1372</v>
      </c>
    </row>
    <row r="2759" spans="2:6" x14ac:dyDescent="0.25">
      <c r="B2759" s="18" t="s">
        <v>11</v>
      </c>
      <c r="C2759" s="19">
        <f>40725+(3*365)</f>
        <v>41820</v>
      </c>
      <c r="D2759" s="18" t="s">
        <v>60</v>
      </c>
      <c r="E2759" s="18" t="s">
        <v>64</v>
      </c>
      <c r="F2759" s="21">
        <v>8799</v>
      </c>
    </row>
    <row r="2760" spans="2:6" x14ac:dyDescent="0.25">
      <c r="B2760" s="18" t="s">
        <v>25</v>
      </c>
      <c r="C2760" s="19">
        <f>40476+(3*365)</f>
        <v>41571</v>
      </c>
      <c r="D2760" s="18" t="s">
        <v>79</v>
      </c>
      <c r="E2760" s="18" t="s">
        <v>72</v>
      </c>
      <c r="F2760" s="21">
        <v>5688</v>
      </c>
    </row>
    <row r="2761" spans="2:6" x14ac:dyDescent="0.25">
      <c r="B2761" s="18" t="s">
        <v>25</v>
      </c>
      <c r="C2761" s="19">
        <f>40491+(3*365)</f>
        <v>41586</v>
      </c>
      <c r="D2761" s="18" t="s">
        <v>78</v>
      </c>
      <c r="E2761" s="18" t="s">
        <v>75</v>
      </c>
      <c r="F2761" s="21">
        <v>240</v>
      </c>
    </row>
    <row r="2762" spans="2:6" x14ac:dyDescent="0.25">
      <c r="B2762" s="18" t="s">
        <v>25</v>
      </c>
      <c r="C2762" s="19">
        <f>40244+(3*365)</f>
        <v>41339</v>
      </c>
      <c r="D2762" s="18" t="s">
        <v>79</v>
      </c>
      <c r="E2762" s="18" t="s">
        <v>61</v>
      </c>
      <c r="F2762" s="21">
        <v>708</v>
      </c>
    </row>
    <row r="2763" spans="2:6" x14ac:dyDescent="0.25">
      <c r="B2763" s="18" t="s">
        <v>18</v>
      </c>
      <c r="C2763" s="19">
        <f>40139+(3*365)</f>
        <v>41234</v>
      </c>
      <c r="D2763" s="18" t="s">
        <v>68</v>
      </c>
      <c r="E2763" s="18" t="s">
        <v>61</v>
      </c>
      <c r="F2763" s="21">
        <v>142</v>
      </c>
    </row>
    <row r="2764" spans="2:6" x14ac:dyDescent="0.25">
      <c r="B2764" s="18" t="s">
        <v>18</v>
      </c>
      <c r="C2764" s="19">
        <f>40840+(3*365)</f>
        <v>41935</v>
      </c>
      <c r="D2764" s="18" t="s">
        <v>68</v>
      </c>
      <c r="E2764" s="18" t="s">
        <v>64</v>
      </c>
      <c r="F2764" s="21">
        <v>4212</v>
      </c>
    </row>
    <row r="2765" spans="2:6" x14ac:dyDescent="0.25">
      <c r="B2765" s="18" t="s">
        <v>11</v>
      </c>
      <c r="C2765" s="19">
        <f>41232+(3*365)</f>
        <v>42327</v>
      </c>
      <c r="D2765" s="18" t="s">
        <v>74</v>
      </c>
      <c r="E2765" s="18" t="s">
        <v>61</v>
      </c>
      <c r="F2765" s="21">
        <v>1176</v>
      </c>
    </row>
    <row r="2766" spans="2:6" x14ac:dyDescent="0.25">
      <c r="B2766" s="18" t="s">
        <v>25</v>
      </c>
      <c r="C2766" s="19">
        <f>40556+(3*365)</f>
        <v>41651</v>
      </c>
      <c r="D2766" s="18" t="s">
        <v>79</v>
      </c>
      <c r="E2766" s="18" t="s">
        <v>69</v>
      </c>
      <c r="F2766" s="21">
        <v>456</v>
      </c>
    </row>
    <row r="2767" spans="2:6" x14ac:dyDescent="0.25">
      <c r="B2767" s="18" t="s">
        <v>21</v>
      </c>
      <c r="C2767" s="19">
        <f>41236+(3*365)</f>
        <v>42331</v>
      </c>
      <c r="D2767" s="18" t="s">
        <v>73</v>
      </c>
      <c r="E2767" s="18" t="s">
        <v>59</v>
      </c>
      <c r="F2767" s="21">
        <v>660</v>
      </c>
    </row>
    <row r="2768" spans="2:6" x14ac:dyDescent="0.25">
      <c r="B2768" s="18" t="s">
        <v>11</v>
      </c>
      <c r="C2768" s="19">
        <f>40826+(3*365)</f>
        <v>41921</v>
      </c>
      <c r="D2768" s="18" t="s">
        <v>74</v>
      </c>
      <c r="E2768" s="18" t="s">
        <v>69</v>
      </c>
      <c r="F2768" s="21">
        <v>2160</v>
      </c>
    </row>
    <row r="2769" spans="2:6" x14ac:dyDescent="0.25">
      <c r="B2769" s="18" t="s">
        <v>10</v>
      </c>
      <c r="C2769" s="19">
        <f>41266+(3*365)</f>
        <v>42361</v>
      </c>
      <c r="D2769" s="18" t="s">
        <v>67</v>
      </c>
      <c r="E2769" s="18" t="s">
        <v>64</v>
      </c>
      <c r="F2769" s="21">
        <v>16551</v>
      </c>
    </row>
    <row r="2770" spans="2:6" x14ac:dyDescent="0.25">
      <c r="B2770" s="18" t="s">
        <v>11</v>
      </c>
      <c r="C2770" s="19">
        <f>39917+(3*365)</f>
        <v>41012</v>
      </c>
      <c r="D2770" s="18" t="s">
        <v>60</v>
      </c>
      <c r="E2770" s="18" t="s">
        <v>75</v>
      </c>
      <c r="F2770" s="21">
        <v>84</v>
      </c>
    </row>
    <row r="2771" spans="2:6" x14ac:dyDescent="0.25">
      <c r="B2771" s="18" t="s">
        <v>31</v>
      </c>
      <c r="C2771" s="19">
        <f>41142+(3*365)</f>
        <v>42237</v>
      </c>
      <c r="D2771" s="18" t="s">
        <v>76</v>
      </c>
      <c r="E2771" s="18" t="s">
        <v>64</v>
      </c>
      <c r="F2771" s="21">
        <v>5328</v>
      </c>
    </row>
    <row r="2772" spans="2:6" x14ac:dyDescent="0.25">
      <c r="B2772" s="18" t="s">
        <v>9</v>
      </c>
      <c r="C2772" s="19">
        <f>40564+(3*365)</f>
        <v>41659</v>
      </c>
      <c r="D2772" s="18" t="s">
        <v>80</v>
      </c>
      <c r="E2772" s="18" t="s">
        <v>63</v>
      </c>
      <c r="F2772" s="21">
        <v>1464</v>
      </c>
    </row>
    <row r="2773" spans="2:6" x14ac:dyDescent="0.25">
      <c r="B2773" s="18" t="s">
        <v>25</v>
      </c>
      <c r="C2773" s="19">
        <f>40420+(3*365)</f>
        <v>41515</v>
      </c>
      <c r="D2773" s="18" t="s">
        <v>79</v>
      </c>
      <c r="E2773" s="18" t="s">
        <v>59</v>
      </c>
      <c r="F2773" s="21">
        <v>234</v>
      </c>
    </row>
    <row r="2774" spans="2:6" x14ac:dyDescent="0.25">
      <c r="B2774" s="18" t="s">
        <v>8</v>
      </c>
      <c r="C2774" s="19">
        <f>40373+(3*365)</f>
        <v>41468</v>
      </c>
      <c r="D2774" s="18" t="s">
        <v>77</v>
      </c>
      <c r="E2774" s="18" t="s">
        <v>72</v>
      </c>
      <c r="F2774" s="21">
        <v>1224</v>
      </c>
    </row>
    <row r="2775" spans="2:6" x14ac:dyDescent="0.25">
      <c r="B2775" s="18" t="s">
        <v>9</v>
      </c>
      <c r="C2775" s="19">
        <f>40172+(3*365)</f>
        <v>41267</v>
      </c>
      <c r="D2775" s="18" t="s">
        <v>62</v>
      </c>
      <c r="E2775" s="18" t="s">
        <v>61</v>
      </c>
      <c r="F2775" s="21">
        <v>444</v>
      </c>
    </row>
    <row r="2776" spans="2:6" x14ac:dyDescent="0.25">
      <c r="B2776" s="18" t="s">
        <v>31</v>
      </c>
      <c r="C2776" s="19">
        <f>41115+(3*365)</f>
        <v>42210</v>
      </c>
      <c r="D2776" s="18" t="s">
        <v>76</v>
      </c>
      <c r="E2776" s="18" t="s">
        <v>59</v>
      </c>
      <c r="F2776" s="21">
        <v>105</v>
      </c>
    </row>
    <row r="2777" spans="2:6" x14ac:dyDescent="0.25">
      <c r="B2777" s="18" t="s">
        <v>25</v>
      </c>
      <c r="C2777" s="19">
        <f>40598+(3*365)</f>
        <v>41693</v>
      </c>
      <c r="D2777" s="18" t="s">
        <v>79</v>
      </c>
      <c r="E2777" s="18" t="s">
        <v>72</v>
      </c>
      <c r="F2777" s="21">
        <v>412</v>
      </c>
    </row>
    <row r="2778" spans="2:6" x14ac:dyDescent="0.25">
      <c r="B2778" s="18" t="s">
        <v>11</v>
      </c>
      <c r="C2778" s="19">
        <f>40241+(3*365)</f>
        <v>41336</v>
      </c>
      <c r="D2778" s="18" t="s">
        <v>74</v>
      </c>
      <c r="E2778" s="18" t="s">
        <v>64</v>
      </c>
      <c r="F2778" s="21">
        <v>2169</v>
      </c>
    </row>
    <row r="2779" spans="2:6" x14ac:dyDescent="0.25">
      <c r="B2779" s="18" t="s">
        <v>21</v>
      </c>
      <c r="C2779" s="19">
        <f>41057+(3*365)</f>
        <v>42152</v>
      </c>
      <c r="D2779" s="18" t="s">
        <v>73</v>
      </c>
      <c r="E2779" s="18" t="s">
        <v>72</v>
      </c>
      <c r="F2779" s="21">
        <v>936</v>
      </c>
    </row>
    <row r="2780" spans="2:6" x14ac:dyDescent="0.25">
      <c r="B2780" s="18" t="s">
        <v>31</v>
      </c>
      <c r="C2780" s="19">
        <f>41028+(3*365)</f>
        <v>42123</v>
      </c>
      <c r="D2780" s="18" t="s">
        <v>76</v>
      </c>
      <c r="E2780" s="18" t="s">
        <v>72</v>
      </c>
      <c r="F2780" s="21">
        <v>675</v>
      </c>
    </row>
    <row r="2781" spans="2:6" x14ac:dyDescent="0.25">
      <c r="B2781" s="18" t="s">
        <v>18</v>
      </c>
      <c r="C2781" s="19">
        <f>40469+(3*365)</f>
        <v>41564</v>
      </c>
      <c r="D2781" s="18" t="s">
        <v>71</v>
      </c>
      <c r="E2781" s="18" t="s">
        <v>63</v>
      </c>
      <c r="F2781" s="21">
        <v>864</v>
      </c>
    </row>
    <row r="2782" spans="2:6" x14ac:dyDescent="0.25">
      <c r="B2782" s="18" t="s">
        <v>10</v>
      </c>
      <c r="C2782" s="19">
        <f>40985+(3*365)</f>
        <v>42080</v>
      </c>
      <c r="D2782" s="18" t="s">
        <v>65</v>
      </c>
      <c r="E2782" s="18" t="s">
        <v>59</v>
      </c>
      <c r="F2782" s="21">
        <v>162</v>
      </c>
    </row>
    <row r="2783" spans="2:6" x14ac:dyDescent="0.25">
      <c r="B2783" s="18" t="s">
        <v>9</v>
      </c>
      <c r="C2783" s="19">
        <f>41164+(3*365)</f>
        <v>42259</v>
      </c>
      <c r="D2783" s="18" t="s">
        <v>80</v>
      </c>
      <c r="E2783" s="18" t="s">
        <v>66</v>
      </c>
      <c r="F2783" s="21">
        <v>60</v>
      </c>
    </row>
    <row r="2784" spans="2:6" x14ac:dyDescent="0.25">
      <c r="B2784" s="18" t="s">
        <v>18</v>
      </c>
      <c r="C2784" s="19">
        <f>41018+(3*365)</f>
        <v>42113</v>
      </c>
      <c r="D2784" s="18" t="s">
        <v>71</v>
      </c>
      <c r="E2784" s="18" t="s">
        <v>63</v>
      </c>
      <c r="F2784" s="21">
        <v>480</v>
      </c>
    </row>
    <row r="2785" spans="2:6" x14ac:dyDescent="0.25">
      <c r="B2785" s="18" t="s">
        <v>25</v>
      </c>
      <c r="C2785" s="19">
        <f>41230+(3*365)</f>
        <v>42325</v>
      </c>
      <c r="D2785" s="18" t="s">
        <v>78</v>
      </c>
      <c r="E2785" s="18" t="s">
        <v>61</v>
      </c>
      <c r="F2785" s="21">
        <v>1044</v>
      </c>
    </row>
    <row r="2786" spans="2:6" x14ac:dyDescent="0.25">
      <c r="B2786" s="18" t="s">
        <v>9</v>
      </c>
      <c r="C2786" s="19">
        <f>40318+(3*365)</f>
        <v>41413</v>
      </c>
      <c r="D2786" s="18" t="s">
        <v>80</v>
      </c>
      <c r="E2786" s="18" t="s">
        <v>69</v>
      </c>
      <c r="F2786" s="21">
        <v>1424</v>
      </c>
    </row>
    <row r="2787" spans="2:6" x14ac:dyDescent="0.25">
      <c r="B2787" s="18" t="s">
        <v>9</v>
      </c>
      <c r="C2787" s="19">
        <f>40721+(3*365)</f>
        <v>41816</v>
      </c>
      <c r="D2787" s="18" t="s">
        <v>80</v>
      </c>
      <c r="E2787" s="18" t="s">
        <v>59</v>
      </c>
      <c r="F2787" s="21">
        <v>252</v>
      </c>
    </row>
    <row r="2788" spans="2:6" x14ac:dyDescent="0.25">
      <c r="B2788" s="18" t="s">
        <v>25</v>
      </c>
      <c r="C2788" s="19">
        <f>40862+(3*365)</f>
        <v>41957</v>
      </c>
      <c r="D2788" s="18" t="s">
        <v>78</v>
      </c>
      <c r="E2788" s="18" t="s">
        <v>69</v>
      </c>
      <c r="F2788" s="21">
        <v>1800</v>
      </c>
    </row>
    <row r="2789" spans="2:6" x14ac:dyDescent="0.25">
      <c r="B2789" s="18" t="s">
        <v>11</v>
      </c>
      <c r="C2789" s="19">
        <f>40859+(3*365)</f>
        <v>41954</v>
      </c>
      <c r="D2789" s="18" t="s">
        <v>74</v>
      </c>
      <c r="E2789" s="18" t="s">
        <v>64</v>
      </c>
      <c r="F2789" s="21">
        <v>12816</v>
      </c>
    </row>
    <row r="2790" spans="2:6" x14ac:dyDescent="0.25">
      <c r="B2790" s="18" t="s">
        <v>8</v>
      </c>
      <c r="C2790" s="19">
        <f>40318+(3*365)</f>
        <v>41413</v>
      </c>
      <c r="D2790" s="18" t="s">
        <v>81</v>
      </c>
      <c r="E2790" s="18" t="s">
        <v>61</v>
      </c>
      <c r="F2790" s="21">
        <v>176</v>
      </c>
    </row>
    <row r="2791" spans="2:6" x14ac:dyDescent="0.25">
      <c r="B2791" s="18" t="s">
        <v>18</v>
      </c>
      <c r="C2791" s="19">
        <f>39836+(3*365)</f>
        <v>40931</v>
      </c>
      <c r="D2791" s="18" t="s">
        <v>68</v>
      </c>
      <c r="E2791" s="18" t="s">
        <v>64</v>
      </c>
      <c r="F2791" s="21">
        <v>3306</v>
      </c>
    </row>
    <row r="2792" spans="2:6" x14ac:dyDescent="0.25">
      <c r="B2792" s="18" t="s">
        <v>9</v>
      </c>
      <c r="C2792" s="19">
        <f>40818+(3*365)</f>
        <v>41913</v>
      </c>
      <c r="D2792" s="18" t="s">
        <v>80</v>
      </c>
      <c r="E2792" s="18" t="s">
        <v>75</v>
      </c>
      <c r="F2792" s="21">
        <v>651</v>
      </c>
    </row>
    <row r="2793" spans="2:6" x14ac:dyDescent="0.25">
      <c r="B2793" s="18" t="s">
        <v>25</v>
      </c>
      <c r="C2793" s="19">
        <f>40258+(3*365)</f>
        <v>41353</v>
      </c>
      <c r="D2793" s="18" t="s">
        <v>79</v>
      </c>
      <c r="E2793" s="18" t="s">
        <v>63</v>
      </c>
      <c r="F2793" s="21">
        <v>984</v>
      </c>
    </row>
    <row r="2794" spans="2:6" x14ac:dyDescent="0.25">
      <c r="B2794" s="18" t="s">
        <v>18</v>
      </c>
      <c r="C2794" s="19">
        <f>41024+(3*365)</f>
        <v>42119</v>
      </c>
      <c r="D2794" s="18" t="s">
        <v>68</v>
      </c>
      <c r="E2794" s="18" t="s">
        <v>59</v>
      </c>
      <c r="F2794" s="21">
        <v>78</v>
      </c>
    </row>
    <row r="2795" spans="2:6" x14ac:dyDescent="0.25">
      <c r="B2795" s="18" t="s">
        <v>25</v>
      </c>
      <c r="C2795" s="19">
        <f>40473+(3*365)</f>
        <v>41568</v>
      </c>
      <c r="D2795" s="18" t="s">
        <v>78</v>
      </c>
      <c r="E2795" s="18" t="s">
        <v>75</v>
      </c>
      <c r="F2795" s="21">
        <v>1053</v>
      </c>
    </row>
    <row r="2796" spans="2:6" x14ac:dyDescent="0.25">
      <c r="B2796" s="18" t="s">
        <v>25</v>
      </c>
      <c r="C2796" s="19">
        <f>40797+(3*365)</f>
        <v>41892</v>
      </c>
      <c r="D2796" s="18" t="s">
        <v>78</v>
      </c>
      <c r="E2796" s="18" t="s">
        <v>75</v>
      </c>
      <c r="F2796" s="21">
        <v>276</v>
      </c>
    </row>
    <row r="2797" spans="2:6" x14ac:dyDescent="0.25">
      <c r="B2797" s="18" t="s">
        <v>11</v>
      </c>
      <c r="C2797" s="19">
        <f>39980+(3*365)</f>
        <v>41075</v>
      </c>
      <c r="D2797" s="18" t="s">
        <v>60</v>
      </c>
      <c r="E2797" s="18" t="s">
        <v>69</v>
      </c>
      <c r="F2797" s="21">
        <v>3582</v>
      </c>
    </row>
    <row r="2798" spans="2:6" x14ac:dyDescent="0.25">
      <c r="B2798" s="18" t="s">
        <v>25</v>
      </c>
      <c r="C2798" s="19">
        <f>40409+(3*365)</f>
        <v>41504</v>
      </c>
      <c r="D2798" s="18" t="s">
        <v>79</v>
      </c>
      <c r="E2798" s="18" t="s">
        <v>75</v>
      </c>
      <c r="F2798" s="21">
        <v>783</v>
      </c>
    </row>
    <row r="2799" spans="2:6" x14ac:dyDescent="0.25">
      <c r="B2799" s="18" t="s">
        <v>21</v>
      </c>
      <c r="C2799" s="19">
        <f>41198+(3*365)</f>
        <v>42293</v>
      </c>
      <c r="D2799" s="18" t="s">
        <v>58</v>
      </c>
      <c r="E2799" s="18" t="s">
        <v>75</v>
      </c>
      <c r="F2799" s="21">
        <v>736</v>
      </c>
    </row>
    <row r="2800" spans="2:6" x14ac:dyDescent="0.25">
      <c r="B2800" s="18" t="s">
        <v>8</v>
      </c>
      <c r="C2800" s="19">
        <f>41074+(3*365)</f>
        <v>42169</v>
      </c>
      <c r="D2800" s="18" t="s">
        <v>81</v>
      </c>
      <c r="E2800" s="18" t="s">
        <v>64</v>
      </c>
      <c r="F2800" s="21">
        <v>6336</v>
      </c>
    </row>
    <row r="2801" spans="2:6" x14ac:dyDescent="0.25">
      <c r="B2801" s="18" t="s">
        <v>18</v>
      </c>
      <c r="C2801" s="19">
        <f>40578+(3*365)</f>
        <v>41673</v>
      </c>
      <c r="D2801" s="18" t="s">
        <v>71</v>
      </c>
      <c r="E2801" s="18" t="s">
        <v>64</v>
      </c>
      <c r="F2801" s="21">
        <v>14928</v>
      </c>
    </row>
    <row r="2802" spans="2:6" x14ac:dyDescent="0.25">
      <c r="B2802" s="18" t="s">
        <v>10</v>
      </c>
      <c r="C2802" s="19">
        <f>40795+(3*365)</f>
        <v>41890</v>
      </c>
      <c r="D2802" s="18" t="s">
        <v>65</v>
      </c>
      <c r="E2802" s="18" t="s">
        <v>61</v>
      </c>
      <c r="F2802" s="21">
        <v>948</v>
      </c>
    </row>
    <row r="2803" spans="2:6" x14ac:dyDescent="0.25">
      <c r="B2803" s="18" t="s">
        <v>11</v>
      </c>
      <c r="C2803" s="19">
        <f>40887+(3*365)</f>
        <v>41982</v>
      </c>
      <c r="D2803" s="18" t="s">
        <v>60</v>
      </c>
      <c r="E2803" s="18" t="s">
        <v>72</v>
      </c>
      <c r="F2803" s="21">
        <v>4389</v>
      </c>
    </row>
    <row r="2804" spans="2:6" x14ac:dyDescent="0.25">
      <c r="B2804" s="18" t="s">
        <v>11</v>
      </c>
      <c r="C2804" s="19">
        <f>41007+(3*365)</f>
        <v>42102</v>
      </c>
      <c r="D2804" s="18" t="s">
        <v>74</v>
      </c>
      <c r="E2804" s="18" t="s">
        <v>59</v>
      </c>
      <c r="F2804" s="21">
        <v>168</v>
      </c>
    </row>
    <row r="2805" spans="2:6" x14ac:dyDescent="0.25">
      <c r="B2805" s="18" t="s">
        <v>10</v>
      </c>
      <c r="C2805" s="19">
        <f>40603+(3*365)</f>
        <v>41698</v>
      </c>
      <c r="D2805" s="18" t="s">
        <v>65</v>
      </c>
      <c r="E2805" s="18" t="s">
        <v>69</v>
      </c>
      <c r="F2805" s="21">
        <v>330</v>
      </c>
    </row>
    <row r="2806" spans="2:6" x14ac:dyDescent="0.25">
      <c r="B2806" s="18" t="s">
        <v>11</v>
      </c>
      <c r="C2806" s="19">
        <f>40245+(3*365)</f>
        <v>41340</v>
      </c>
      <c r="D2806" s="18" t="s">
        <v>60</v>
      </c>
      <c r="E2806" s="18" t="s">
        <v>61</v>
      </c>
      <c r="F2806" s="21">
        <v>1344</v>
      </c>
    </row>
    <row r="2807" spans="2:6" x14ac:dyDescent="0.25">
      <c r="B2807" s="18" t="s">
        <v>25</v>
      </c>
      <c r="C2807" s="19">
        <f>40368+(3*365)</f>
        <v>41463</v>
      </c>
      <c r="D2807" s="18" t="s">
        <v>78</v>
      </c>
      <c r="E2807" s="18" t="s">
        <v>75</v>
      </c>
      <c r="F2807" s="21">
        <v>162</v>
      </c>
    </row>
    <row r="2808" spans="2:6" x14ac:dyDescent="0.25">
      <c r="B2808" s="18" t="s">
        <v>9</v>
      </c>
      <c r="C2808" s="19">
        <f>40696+(3*365)</f>
        <v>41791</v>
      </c>
      <c r="D2808" s="18" t="s">
        <v>80</v>
      </c>
      <c r="E2808" s="18" t="s">
        <v>72</v>
      </c>
      <c r="F2808" s="21">
        <v>828</v>
      </c>
    </row>
    <row r="2809" spans="2:6" x14ac:dyDescent="0.25">
      <c r="B2809" s="18" t="s">
        <v>21</v>
      </c>
      <c r="C2809" s="19">
        <f>40138+(3*365)</f>
        <v>41233</v>
      </c>
      <c r="D2809" s="18" t="s">
        <v>73</v>
      </c>
      <c r="E2809" s="18" t="s">
        <v>75</v>
      </c>
      <c r="F2809" s="21">
        <v>23</v>
      </c>
    </row>
    <row r="2810" spans="2:6" x14ac:dyDescent="0.25">
      <c r="B2810" s="18" t="s">
        <v>10</v>
      </c>
      <c r="C2810" s="19">
        <f>40252+(3*365)</f>
        <v>41347</v>
      </c>
      <c r="D2810" s="18" t="s">
        <v>65</v>
      </c>
      <c r="E2810" s="18" t="s">
        <v>69</v>
      </c>
      <c r="F2810" s="21">
        <v>1086</v>
      </c>
    </row>
    <row r="2811" spans="2:6" x14ac:dyDescent="0.25">
      <c r="B2811" s="18" t="s">
        <v>21</v>
      </c>
      <c r="C2811" s="19">
        <f>40141+(3*365)</f>
        <v>41236</v>
      </c>
      <c r="D2811" s="18" t="s">
        <v>58</v>
      </c>
      <c r="E2811" s="18" t="s">
        <v>61</v>
      </c>
      <c r="F2811" s="21">
        <v>118</v>
      </c>
    </row>
    <row r="2812" spans="2:6" x14ac:dyDescent="0.25">
      <c r="B2812" s="18" t="s">
        <v>31</v>
      </c>
      <c r="C2812" s="19">
        <f>40923+(3*365)</f>
        <v>42018</v>
      </c>
      <c r="D2812" s="18" t="s">
        <v>70</v>
      </c>
      <c r="E2812" s="18" t="s">
        <v>72</v>
      </c>
      <c r="F2812" s="21">
        <v>678</v>
      </c>
    </row>
    <row r="2813" spans="2:6" x14ac:dyDescent="0.25">
      <c r="B2813" s="18" t="s">
        <v>31</v>
      </c>
      <c r="C2813" s="19">
        <f>40134+(3*365)</f>
        <v>41229</v>
      </c>
      <c r="D2813" s="18" t="s">
        <v>70</v>
      </c>
      <c r="E2813" s="18" t="s">
        <v>59</v>
      </c>
      <c r="F2813" s="21">
        <v>816</v>
      </c>
    </row>
    <row r="2814" spans="2:6" x14ac:dyDescent="0.25">
      <c r="B2814" s="18" t="s">
        <v>21</v>
      </c>
      <c r="C2814" s="19">
        <f>40699+(3*365)</f>
        <v>41794</v>
      </c>
      <c r="D2814" s="18" t="s">
        <v>58</v>
      </c>
      <c r="E2814" s="18" t="s">
        <v>69</v>
      </c>
      <c r="F2814" s="21">
        <v>2100</v>
      </c>
    </row>
    <row r="2815" spans="2:6" x14ac:dyDescent="0.25">
      <c r="B2815" s="18" t="s">
        <v>21</v>
      </c>
      <c r="C2815" s="19">
        <f>41195+(3*365)</f>
        <v>42290</v>
      </c>
      <c r="D2815" s="18" t="s">
        <v>58</v>
      </c>
      <c r="E2815" s="18" t="s">
        <v>63</v>
      </c>
      <c r="F2815" s="21">
        <v>1632</v>
      </c>
    </row>
    <row r="2816" spans="2:6" x14ac:dyDescent="0.25">
      <c r="B2816" s="18" t="s">
        <v>9</v>
      </c>
      <c r="C2816" s="19">
        <f>40339+(3*365)</f>
        <v>41434</v>
      </c>
      <c r="D2816" s="18" t="s">
        <v>62</v>
      </c>
      <c r="E2816" s="18" t="s">
        <v>69</v>
      </c>
      <c r="F2816" s="21">
        <v>888</v>
      </c>
    </row>
    <row r="2817" spans="2:6" x14ac:dyDescent="0.25">
      <c r="B2817" s="18" t="s">
        <v>10</v>
      </c>
      <c r="C2817" s="19">
        <f>40409+(3*365)</f>
        <v>41504</v>
      </c>
      <c r="D2817" s="18" t="s">
        <v>65</v>
      </c>
      <c r="E2817" s="18" t="s">
        <v>59</v>
      </c>
      <c r="F2817" s="21">
        <v>234</v>
      </c>
    </row>
    <row r="2818" spans="2:6" x14ac:dyDescent="0.25">
      <c r="B2818" s="18" t="s">
        <v>21</v>
      </c>
      <c r="C2818" s="19">
        <f>40500+(3*365)</f>
        <v>41595</v>
      </c>
      <c r="D2818" s="18" t="s">
        <v>73</v>
      </c>
      <c r="E2818" s="18" t="s">
        <v>61</v>
      </c>
      <c r="F2818" s="21">
        <v>300</v>
      </c>
    </row>
    <row r="2819" spans="2:6" x14ac:dyDescent="0.25">
      <c r="B2819" s="18" t="s">
        <v>21</v>
      </c>
      <c r="C2819" s="19">
        <f>41251+(3*365)</f>
        <v>42346</v>
      </c>
      <c r="D2819" s="18" t="s">
        <v>58</v>
      </c>
      <c r="E2819" s="18" t="s">
        <v>66</v>
      </c>
      <c r="F2819" s="21">
        <v>1280</v>
      </c>
    </row>
    <row r="2820" spans="2:6" x14ac:dyDescent="0.25">
      <c r="B2820" s="18" t="s">
        <v>11</v>
      </c>
      <c r="C2820" s="19">
        <f>40941+(3*365)</f>
        <v>42036</v>
      </c>
      <c r="D2820" s="18" t="s">
        <v>60</v>
      </c>
      <c r="E2820" s="18" t="s">
        <v>61</v>
      </c>
      <c r="F2820" s="21">
        <v>544</v>
      </c>
    </row>
    <row r="2821" spans="2:6" x14ac:dyDescent="0.25">
      <c r="B2821" s="18" t="s">
        <v>8</v>
      </c>
      <c r="C2821" s="19">
        <f>39904+(3*365)</f>
        <v>40999</v>
      </c>
      <c r="D2821" s="18" t="s">
        <v>81</v>
      </c>
      <c r="E2821" s="18" t="s">
        <v>75</v>
      </c>
      <c r="F2821" s="21">
        <v>756</v>
      </c>
    </row>
    <row r="2822" spans="2:6" x14ac:dyDescent="0.25">
      <c r="B2822" s="18" t="s">
        <v>11</v>
      </c>
      <c r="C2822" s="19">
        <f>39846+(3*365)</f>
        <v>40941</v>
      </c>
      <c r="D2822" s="18" t="s">
        <v>60</v>
      </c>
      <c r="E2822" s="18" t="s">
        <v>66</v>
      </c>
      <c r="F2822" s="21">
        <v>540</v>
      </c>
    </row>
    <row r="2823" spans="2:6" x14ac:dyDescent="0.25">
      <c r="B2823" s="18" t="s">
        <v>18</v>
      </c>
      <c r="C2823" s="19">
        <f>40129+(3*365)</f>
        <v>41224</v>
      </c>
      <c r="D2823" s="18" t="s">
        <v>68</v>
      </c>
      <c r="E2823" s="18" t="s">
        <v>66</v>
      </c>
      <c r="F2823" s="21">
        <v>270</v>
      </c>
    </row>
    <row r="2824" spans="2:6" x14ac:dyDescent="0.25">
      <c r="B2824" s="18" t="s">
        <v>21</v>
      </c>
      <c r="C2824" s="19">
        <f>39900+(3*365)</f>
        <v>40995</v>
      </c>
      <c r="D2824" s="18" t="s">
        <v>58</v>
      </c>
      <c r="E2824" s="18" t="s">
        <v>66</v>
      </c>
      <c r="F2824" s="21">
        <v>165</v>
      </c>
    </row>
    <row r="2825" spans="2:6" x14ac:dyDescent="0.25">
      <c r="B2825" s="18" t="s">
        <v>31</v>
      </c>
      <c r="C2825" s="19">
        <f>40497+(3*365)</f>
        <v>41592</v>
      </c>
      <c r="D2825" s="18" t="s">
        <v>70</v>
      </c>
      <c r="E2825" s="18" t="s">
        <v>61</v>
      </c>
      <c r="F2825" s="21">
        <v>258</v>
      </c>
    </row>
    <row r="2826" spans="2:6" x14ac:dyDescent="0.25">
      <c r="B2826" s="18" t="s">
        <v>11</v>
      </c>
      <c r="C2826" s="19">
        <f>40304+(3*365)</f>
        <v>41399</v>
      </c>
      <c r="D2826" s="18" t="s">
        <v>74</v>
      </c>
      <c r="E2826" s="18" t="s">
        <v>61</v>
      </c>
      <c r="F2826" s="21">
        <v>558</v>
      </c>
    </row>
    <row r="2827" spans="2:6" x14ac:dyDescent="0.25">
      <c r="B2827" s="18" t="s">
        <v>21</v>
      </c>
      <c r="C2827" s="19">
        <f>40846+(3*365)</f>
        <v>41941</v>
      </c>
      <c r="D2827" s="18" t="s">
        <v>73</v>
      </c>
      <c r="E2827" s="18" t="s">
        <v>64</v>
      </c>
      <c r="F2827" s="21">
        <v>8424</v>
      </c>
    </row>
    <row r="2828" spans="2:6" x14ac:dyDescent="0.25">
      <c r="B2828" s="18" t="s">
        <v>11</v>
      </c>
      <c r="C2828" s="19">
        <f>39820+(3*365)</f>
        <v>40915</v>
      </c>
      <c r="D2828" s="18" t="s">
        <v>74</v>
      </c>
      <c r="E2828" s="18" t="s">
        <v>69</v>
      </c>
      <c r="F2828" s="21">
        <v>204</v>
      </c>
    </row>
    <row r="2829" spans="2:6" x14ac:dyDescent="0.25">
      <c r="B2829" s="18" t="s">
        <v>21</v>
      </c>
      <c r="C2829" s="19">
        <f>41204+(3*365)</f>
        <v>42299</v>
      </c>
      <c r="D2829" s="18" t="s">
        <v>58</v>
      </c>
      <c r="E2829" s="18" t="s">
        <v>75</v>
      </c>
      <c r="F2829" s="21">
        <v>1260</v>
      </c>
    </row>
    <row r="2830" spans="2:6" x14ac:dyDescent="0.25">
      <c r="B2830" s="18" t="s">
        <v>8</v>
      </c>
      <c r="C2830" s="19">
        <f>40659+(3*365)</f>
        <v>41754</v>
      </c>
      <c r="D2830" s="18" t="s">
        <v>77</v>
      </c>
      <c r="E2830" s="18" t="s">
        <v>75</v>
      </c>
      <c r="F2830" s="21">
        <v>1064</v>
      </c>
    </row>
    <row r="2831" spans="2:6" x14ac:dyDescent="0.25">
      <c r="B2831" s="18" t="s">
        <v>31</v>
      </c>
      <c r="C2831" s="19">
        <f>40523+(3*365)</f>
        <v>41618</v>
      </c>
      <c r="D2831" s="18" t="s">
        <v>76</v>
      </c>
      <c r="E2831" s="18" t="s">
        <v>66</v>
      </c>
      <c r="F2831" s="21">
        <v>720</v>
      </c>
    </row>
    <row r="2832" spans="2:6" x14ac:dyDescent="0.25">
      <c r="B2832" s="18" t="s">
        <v>31</v>
      </c>
      <c r="C2832" s="19">
        <f>39953+(3*365)</f>
        <v>41048</v>
      </c>
      <c r="D2832" s="18" t="s">
        <v>70</v>
      </c>
      <c r="E2832" s="18" t="s">
        <v>75</v>
      </c>
      <c r="F2832" s="21">
        <v>162</v>
      </c>
    </row>
    <row r="2833" spans="2:6" x14ac:dyDescent="0.25">
      <c r="B2833" s="18" t="s">
        <v>9</v>
      </c>
      <c r="C2833" s="19">
        <f>39958+(3*365)</f>
        <v>41053</v>
      </c>
      <c r="D2833" s="18" t="s">
        <v>80</v>
      </c>
      <c r="E2833" s="18" t="s">
        <v>66</v>
      </c>
      <c r="F2833" s="21">
        <v>1064</v>
      </c>
    </row>
    <row r="2834" spans="2:6" x14ac:dyDescent="0.25">
      <c r="B2834" s="18" t="s">
        <v>8</v>
      </c>
      <c r="C2834" s="19">
        <f>40425+(3*365)</f>
        <v>41520</v>
      </c>
      <c r="D2834" s="18" t="s">
        <v>81</v>
      </c>
      <c r="E2834" s="18" t="s">
        <v>75</v>
      </c>
      <c r="F2834" s="21">
        <v>396</v>
      </c>
    </row>
    <row r="2835" spans="2:6" x14ac:dyDescent="0.25">
      <c r="B2835" s="18" t="s">
        <v>21</v>
      </c>
      <c r="C2835" s="19">
        <f>40121+(3*365)</f>
        <v>41216</v>
      </c>
      <c r="D2835" s="18" t="s">
        <v>73</v>
      </c>
      <c r="E2835" s="18" t="s">
        <v>75</v>
      </c>
      <c r="F2835" s="21">
        <v>96</v>
      </c>
    </row>
    <row r="2836" spans="2:6" x14ac:dyDescent="0.25">
      <c r="B2836" s="18" t="s">
        <v>9</v>
      </c>
      <c r="C2836" s="19">
        <f>40035+(3*365)</f>
        <v>41130</v>
      </c>
      <c r="D2836" s="18" t="s">
        <v>62</v>
      </c>
      <c r="E2836" s="18" t="s">
        <v>66</v>
      </c>
      <c r="F2836" s="21">
        <v>480</v>
      </c>
    </row>
    <row r="2837" spans="2:6" x14ac:dyDescent="0.25">
      <c r="B2837" s="18" t="s">
        <v>25</v>
      </c>
      <c r="C2837" s="19">
        <f>40106+(3*365)</f>
        <v>41201</v>
      </c>
      <c r="D2837" s="18" t="s">
        <v>78</v>
      </c>
      <c r="E2837" s="18" t="s">
        <v>75</v>
      </c>
      <c r="F2837" s="21">
        <v>210</v>
      </c>
    </row>
    <row r="2838" spans="2:6" x14ac:dyDescent="0.25">
      <c r="B2838" s="18" t="s">
        <v>18</v>
      </c>
      <c r="C2838" s="19">
        <f>40714+(3*365)</f>
        <v>41809</v>
      </c>
      <c r="D2838" s="18" t="s">
        <v>71</v>
      </c>
      <c r="E2838" s="18" t="s">
        <v>63</v>
      </c>
      <c r="F2838" s="21">
        <v>212</v>
      </c>
    </row>
    <row r="2839" spans="2:6" x14ac:dyDescent="0.25">
      <c r="B2839" s="18" t="s">
        <v>31</v>
      </c>
      <c r="C2839" s="19">
        <f>40555+(3*365)</f>
        <v>41650</v>
      </c>
      <c r="D2839" s="18" t="s">
        <v>76</v>
      </c>
      <c r="E2839" s="18" t="s">
        <v>69</v>
      </c>
      <c r="F2839" s="21">
        <v>1458</v>
      </c>
    </row>
    <row r="2840" spans="2:6" x14ac:dyDescent="0.25">
      <c r="B2840" s="18" t="s">
        <v>31</v>
      </c>
      <c r="C2840" s="19">
        <f>39994+(3*365)</f>
        <v>41089</v>
      </c>
      <c r="D2840" s="18" t="s">
        <v>76</v>
      </c>
      <c r="E2840" s="18" t="s">
        <v>69</v>
      </c>
      <c r="F2840" s="21">
        <v>2565</v>
      </c>
    </row>
    <row r="2841" spans="2:6" x14ac:dyDescent="0.25">
      <c r="B2841" s="18" t="s">
        <v>25</v>
      </c>
      <c r="C2841" s="19">
        <f>40975+(3*365)</f>
        <v>42070</v>
      </c>
      <c r="D2841" s="18" t="s">
        <v>79</v>
      </c>
      <c r="E2841" s="18" t="s">
        <v>59</v>
      </c>
      <c r="F2841" s="21">
        <v>336</v>
      </c>
    </row>
    <row r="2842" spans="2:6" x14ac:dyDescent="0.25">
      <c r="B2842" s="18" t="s">
        <v>25</v>
      </c>
      <c r="C2842" s="19">
        <f>40753+(3*365)</f>
        <v>41848</v>
      </c>
      <c r="D2842" s="18" t="s">
        <v>79</v>
      </c>
      <c r="E2842" s="18" t="s">
        <v>66</v>
      </c>
      <c r="F2842" s="21">
        <v>2144</v>
      </c>
    </row>
    <row r="2843" spans="2:6" x14ac:dyDescent="0.25">
      <c r="B2843" s="18" t="s">
        <v>11</v>
      </c>
      <c r="C2843" s="19">
        <f>39816+(3*365)</f>
        <v>40911</v>
      </c>
      <c r="D2843" s="18" t="s">
        <v>60</v>
      </c>
      <c r="E2843" s="18" t="s">
        <v>63</v>
      </c>
      <c r="F2843" s="21">
        <v>300</v>
      </c>
    </row>
    <row r="2844" spans="2:6" x14ac:dyDescent="0.25">
      <c r="B2844" s="18" t="s">
        <v>21</v>
      </c>
      <c r="C2844" s="19">
        <f>41189+(3*365)</f>
        <v>42284</v>
      </c>
      <c r="D2844" s="18" t="s">
        <v>73</v>
      </c>
      <c r="E2844" s="18" t="s">
        <v>72</v>
      </c>
      <c r="F2844" s="21">
        <v>2312</v>
      </c>
    </row>
    <row r="2845" spans="2:6" x14ac:dyDescent="0.25">
      <c r="B2845" s="18" t="s">
        <v>11</v>
      </c>
      <c r="C2845" s="19">
        <f>40874+(3*365)</f>
        <v>41969</v>
      </c>
      <c r="D2845" s="18" t="s">
        <v>74</v>
      </c>
      <c r="E2845" s="18" t="s">
        <v>75</v>
      </c>
      <c r="F2845" s="21">
        <v>594</v>
      </c>
    </row>
    <row r="2846" spans="2:6" x14ac:dyDescent="0.25">
      <c r="B2846" s="18" t="s">
        <v>9</v>
      </c>
      <c r="C2846" s="19">
        <f>41104+(3*365)</f>
        <v>42199</v>
      </c>
      <c r="D2846" s="18" t="s">
        <v>62</v>
      </c>
      <c r="E2846" s="18" t="s">
        <v>72</v>
      </c>
      <c r="F2846" s="21">
        <v>552</v>
      </c>
    </row>
    <row r="2847" spans="2:6" x14ac:dyDescent="0.25">
      <c r="B2847" s="18" t="s">
        <v>25</v>
      </c>
      <c r="C2847" s="19">
        <f>40093+(3*365)</f>
        <v>41188</v>
      </c>
      <c r="D2847" s="18" t="s">
        <v>79</v>
      </c>
      <c r="E2847" s="18" t="s">
        <v>61</v>
      </c>
      <c r="F2847" s="21">
        <v>564</v>
      </c>
    </row>
    <row r="2848" spans="2:6" x14ac:dyDescent="0.25">
      <c r="B2848" s="18" t="s">
        <v>21</v>
      </c>
      <c r="C2848" s="19">
        <f>41091+(3*365)</f>
        <v>42186</v>
      </c>
      <c r="D2848" s="18" t="s">
        <v>58</v>
      </c>
      <c r="E2848" s="18" t="s">
        <v>63</v>
      </c>
      <c r="F2848" s="21">
        <v>1920</v>
      </c>
    </row>
    <row r="2849" spans="2:6" x14ac:dyDescent="0.25">
      <c r="B2849" s="18" t="s">
        <v>10</v>
      </c>
      <c r="C2849" s="19">
        <f>40477+(3*365)</f>
        <v>41572</v>
      </c>
      <c r="D2849" s="18" t="s">
        <v>65</v>
      </c>
      <c r="E2849" s="18" t="s">
        <v>59</v>
      </c>
      <c r="F2849" s="21">
        <v>414</v>
      </c>
    </row>
    <row r="2850" spans="2:6" x14ac:dyDescent="0.25">
      <c r="B2850" s="18" t="s">
        <v>10</v>
      </c>
      <c r="C2850" s="19">
        <f>41166+(3*365)</f>
        <v>42261</v>
      </c>
      <c r="D2850" s="18" t="s">
        <v>65</v>
      </c>
      <c r="E2850" s="18" t="s">
        <v>61</v>
      </c>
      <c r="F2850" s="21">
        <v>165</v>
      </c>
    </row>
    <row r="2851" spans="2:6" x14ac:dyDescent="0.25">
      <c r="B2851" s="18" t="s">
        <v>10</v>
      </c>
      <c r="C2851" s="19">
        <f>39912+(3*365)</f>
        <v>41007</v>
      </c>
      <c r="D2851" s="18" t="s">
        <v>65</v>
      </c>
      <c r="E2851" s="18" t="s">
        <v>59</v>
      </c>
      <c r="F2851" s="21">
        <v>80</v>
      </c>
    </row>
    <row r="2852" spans="2:6" x14ac:dyDescent="0.25">
      <c r="B2852" s="18" t="s">
        <v>25</v>
      </c>
      <c r="C2852" s="19">
        <f>40552+(3*365)</f>
        <v>41647</v>
      </c>
      <c r="D2852" s="18" t="s">
        <v>78</v>
      </c>
      <c r="E2852" s="18" t="s">
        <v>66</v>
      </c>
      <c r="F2852" s="21">
        <v>372</v>
      </c>
    </row>
    <row r="2853" spans="2:6" x14ac:dyDescent="0.25">
      <c r="B2853" s="18" t="s">
        <v>25</v>
      </c>
      <c r="C2853" s="19">
        <f>40777+(3*365)</f>
        <v>41872</v>
      </c>
      <c r="D2853" s="18" t="s">
        <v>79</v>
      </c>
      <c r="E2853" s="18" t="s">
        <v>75</v>
      </c>
      <c r="F2853" s="21">
        <v>140</v>
      </c>
    </row>
    <row r="2854" spans="2:6" x14ac:dyDescent="0.25">
      <c r="B2854" s="18" t="s">
        <v>9</v>
      </c>
      <c r="C2854" s="19">
        <f>40604+(3*365)</f>
        <v>41699</v>
      </c>
      <c r="D2854" s="18" t="s">
        <v>62</v>
      </c>
      <c r="E2854" s="18" t="s">
        <v>63</v>
      </c>
      <c r="F2854" s="21">
        <v>612</v>
      </c>
    </row>
    <row r="2855" spans="2:6" x14ac:dyDescent="0.25">
      <c r="B2855" s="18" t="s">
        <v>21</v>
      </c>
      <c r="C2855" s="19">
        <f>40307+(3*365)</f>
        <v>41402</v>
      </c>
      <c r="D2855" s="18" t="s">
        <v>58</v>
      </c>
      <c r="E2855" s="18" t="s">
        <v>72</v>
      </c>
      <c r="F2855" s="21">
        <v>800</v>
      </c>
    </row>
    <row r="2856" spans="2:6" x14ac:dyDescent="0.25">
      <c r="B2856" s="18" t="s">
        <v>8</v>
      </c>
      <c r="C2856" s="19">
        <f>39981+(3*365)</f>
        <v>41076</v>
      </c>
      <c r="D2856" s="18" t="s">
        <v>77</v>
      </c>
      <c r="E2856" s="18" t="s">
        <v>61</v>
      </c>
      <c r="F2856" s="21">
        <v>1197</v>
      </c>
    </row>
    <row r="2857" spans="2:6" x14ac:dyDescent="0.25">
      <c r="B2857" s="18" t="s">
        <v>10</v>
      </c>
      <c r="C2857" s="19">
        <f>40955+(3*365)</f>
        <v>42050</v>
      </c>
      <c r="D2857" s="18" t="s">
        <v>65</v>
      </c>
      <c r="E2857" s="18" t="s">
        <v>61</v>
      </c>
      <c r="F2857" s="21">
        <v>630</v>
      </c>
    </row>
    <row r="2858" spans="2:6" x14ac:dyDescent="0.25">
      <c r="B2858" s="18" t="s">
        <v>21</v>
      </c>
      <c r="C2858" s="19">
        <f>40498+(3*365)</f>
        <v>41593</v>
      </c>
      <c r="D2858" s="18" t="s">
        <v>73</v>
      </c>
      <c r="E2858" s="18" t="s">
        <v>63</v>
      </c>
      <c r="F2858" s="21">
        <v>296</v>
      </c>
    </row>
    <row r="2859" spans="2:6" x14ac:dyDescent="0.25">
      <c r="B2859" s="18" t="s">
        <v>10</v>
      </c>
      <c r="C2859" s="19">
        <f>41002+(3*365)</f>
        <v>42097</v>
      </c>
      <c r="D2859" s="18" t="s">
        <v>65</v>
      </c>
      <c r="E2859" s="18" t="s">
        <v>75</v>
      </c>
      <c r="F2859" s="21">
        <v>510</v>
      </c>
    </row>
    <row r="2860" spans="2:6" x14ac:dyDescent="0.25">
      <c r="B2860" s="18" t="s">
        <v>11</v>
      </c>
      <c r="C2860" s="19">
        <f>39835+(3*365)</f>
        <v>40930</v>
      </c>
      <c r="D2860" s="18" t="s">
        <v>74</v>
      </c>
      <c r="E2860" s="18" t="s">
        <v>69</v>
      </c>
      <c r="F2860" s="21">
        <v>5643</v>
      </c>
    </row>
    <row r="2861" spans="2:6" x14ac:dyDescent="0.25">
      <c r="B2861" s="18" t="s">
        <v>11</v>
      </c>
      <c r="C2861" s="19">
        <f>40423+(3*365)</f>
        <v>41518</v>
      </c>
      <c r="D2861" s="18" t="s">
        <v>60</v>
      </c>
      <c r="E2861" s="18" t="s">
        <v>63</v>
      </c>
      <c r="F2861" s="21">
        <v>1485</v>
      </c>
    </row>
    <row r="2862" spans="2:6" x14ac:dyDescent="0.25">
      <c r="B2862" s="18" t="s">
        <v>9</v>
      </c>
      <c r="C2862" s="19">
        <f>40548+(3*365)</f>
        <v>41643</v>
      </c>
      <c r="D2862" s="18" t="s">
        <v>80</v>
      </c>
      <c r="E2862" s="18" t="s">
        <v>64</v>
      </c>
      <c r="F2862" s="21">
        <v>1764</v>
      </c>
    </row>
    <row r="2863" spans="2:6" x14ac:dyDescent="0.25">
      <c r="B2863" s="18" t="s">
        <v>25</v>
      </c>
      <c r="C2863" s="19">
        <f>40621+(3*365)</f>
        <v>41716</v>
      </c>
      <c r="D2863" s="18" t="s">
        <v>78</v>
      </c>
      <c r="E2863" s="18" t="s">
        <v>66</v>
      </c>
      <c r="F2863" s="21">
        <v>2368</v>
      </c>
    </row>
    <row r="2864" spans="2:6" x14ac:dyDescent="0.25">
      <c r="B2864" s="18" t="s">
        <v>9</v>
      </c>
      <c r="C2864" s="19">
        <f>39996+(3*365)</f>
        <v>41091</v>
      </c>
      <c r="D2864" s="18" t="s">
        <v>80</v>
      </c>
      <c r="E2864" s="18" t="s">
        <v>72</v>
      </c>
      <c r="F2864" s="21">
        <v>72</v>
      </c>
    </row>
    <row r="2865" spans="2:6" x14ac:dyDescent="0.25">
      <c r="B2865" s="18" t="s">
        <v>11</v>
      </c>
      <c r="C2865" s="19">
        <f>40026+(3*365)</f>
        <v>41121</v>
      </c>
      <c r="D2865" s="18" t="s">
        <v>60</v>
      </c>
      <c r="E2865" s="18" t="s">
        <v>63</v>
      </c>
      <c r="F2865" s="21">
        <v>1539</v>
      </c>
    </row>
    <row r="2866" spans="2:6" x14ac:dyDescent="0.25">
      <c r="B2866" s="18" t="s">
        <v>10</v>
      </c>
      <c r="C2866" s="19">
        <f>41271+(3*365)</f>
        <v>42366</v>
      </c>
      <c r="D2866" s="18" t="s">
        <v>65</v>
      </c>
      <c r="E2866" s="18" t="s">
        <v>75</v>
      </c>
      <c r="F2866" s="21">
        <v>432</v>
      </c>
    </row>
    <row r="2867" spans="2:6" x14ac:dyDescent="0.25">
      <c r="B2867" s="18" t="s">
        <v>31</v>
      </c>
      <c r="C2867" s="19">
        <f>40482+(3*365)</f>
        <v>41577</v>
      </c>
      <c r="D2867" s="18" t="s">
        <v>70</v>
      </c>
      <c r="E2867" s="18" t="s">
        <v>69</v>
      </c>
      <c r="F2867" s="21">
        <v>912</v>
      </c>
    </row>
    <row r="2868" spans="2:6" x14ac:dyDescent="0.25">
      <c r="B2868" s="18" t="s">
        <v>10</v>
      </c>
      <c r="C2868" s="19">
        <f>40573+(3*365)</f>
        <v>41668</v>
      </c>
      <c r="D2868" s="18" t="s">
        <v>65</v>
      </c>
      <c r="E2868" s="18" t="s">
        <v>69</v>
      </c>
      <c r="F2868" s="21">
        <v>1098</v>
      </c>
    </row>
    <row r="2869" spans="2:6" x14ac:dyDescent="0.25">
      <c r="B2869" s="18" t="s">
        <v>8</v>
      </c>
      <c r="C2869" s="19">
        <f>40980+(3*365)</f>
        <v>42075</v>
      </c>
      <c r="D2869" s="18" t="s">
        <v>81</v>
      </c>
      <c r="E2869" s="18" t="s">
        <v>64</v>
      </c>
      <c r="F2869" s="21">
        <v>7360</v>
      </c>
    </row>
    <row r="2870" spans="2:6" x14ac:dyDescent="0.25">
      <c r="B2870" s="18" t="s">
        <v>10</v>
      </c>
      <c r="C2870" s="19">
        <f>40499+(3*365)</f>
        <v>41594</v>
      </c>
      <c r="D2870" s="18" t="s">
        <v>67</v>
      </c>
      <c r="E2870" s="18" t="s">
        <v>66</v>
      </c>
      <c r="F2870" s="21">
        <v>1020</v>
      </c>
    </row>
    <row r="2871" spans="2:6" x14ac:dyDescent="0.25">
      <c r="B2871" s="18" t="s">
        <v>8</v>
      </c>
      <c r="C2871" s="19">
        <f>41051+(3*365)</f>
        <v>42146</v>
      </c>
      <c r="D2871" s="18" t="s">
        <v>81</v>
      </c>
      <c r="E2871" s="18" t="s">
        <v>72</v>
      </c>
      <c r="F2871" s="21">
        <v>4760</v>
      </c>
    </row>
    <row r="2872" spans="2:6" x14ac:dyDescent="0.25">
      <c r="B2872" s="18" t="s">
        <v>9</v>
      </c>
      <c r="C2872" s="19">
        <f>41237+(3*365)</f>
        <v>42332</v>
      </c>
      <c r="D2872" s="18" t="s">
        <v>62</v>
      </c>
      <c r="E2872" s="18" t="s">
        <v>59</v>
      </c>
      <c r="F2872" s="21">
        <v>248</v>
      </c>
    </row>
    <row r="2873" spans="2:6" x14ac:dyDescent="0.25">
      <c r="B2873" s="18" t="s">
        <v>11</v>
      </c>
      <c r="C2873" s="19">
        <f>41242+(3*365)</f>
        <v>42337</v>
      </c>
      <c r="D2873" s="18" t="s">
        <v>60</v>
      </c>
      <c r="E2873" s="18" t="s">
        <v>72</v>
      </c>
      <c r="F2873" s="21">
        <v>168</v>
      </c>
    </row>
    <row r="2874" spans="2:6" x14ac:dyDescent="0.25">
      <c r="B2874" s="18" t="s">
        <v>9</v>
      </c>
      <c r="C2874" s="19">
        <f>41013+(3*365)</f>
        <v>42108</v>
      </c>
      <c r="D2874" s="18" t="s">
        <v>80</v>
      </c>
      <c r="E2874" s="18" t="s">
        <v>69</v>
      </c>
      <c r="F2874" s="21">
        <v>252</v>
      </c>
    </row>
    <row r="2875" spans="2:6" x14ac:dyDescent="0.25">
      <c r="B2875" s="18" t="s">
        <v>10</v>
      </c>
      <c r="C2875" s="19">
        <f>41267+(3*365)</f>
        <v>42362</v>
      </c>
      <c r="D2875" s="18" t="s">
        <v>67</v>
      </c>
      <c r="E2875" s="18" t="s">
        <v>66</v>
      </c>
      <c r="F2875" s="21">
        <v>480</v>
      </c>
    </row>
    <row r="2876" spans="2:6" x14ac:dyDescent="0.25">
      <c r="B2876" s="18" t="s">
        <v>10</v>
      </c>
      <c r="C2876" s="19">
        <f>39892+(3*365)</f>
        <v>40987</v>
      </c>
      <c r="D2876" s="18" t="s">
        <v>67</v>
      </c>
      <c r="E2876" s="18" t="s">
        <v>64</v>
      </c>
      <c r="F2876" s="21">
        <v>14688</v>
      </c>
    </row>
    <row r="2877" spans="2:6" x14ac:dyDescent="0.25">
      <c r="B2877" s="18" t="s">
        <v>21</v>
      </c>
      <c r="C2877" s="19">
        <f>40809+(3*365)</f>
        <v>41904</v>
      </c>
      <c r="D2877" s="18" t="s">
        <v>73</v>
      </c>
      <c r="E2877" s="18" t="s">
        <v>75</v>
      </c>
      <c r="F2877" s="21">
        <v>270</v>
      </c>
    </row>
    <row r="2878" spans="2:6" x14ac:dyDescent="0.25">
      <c r="B2878" s="18" t="s">
        <v>21</v>
      </c>
      <c r="C2878" s="19">
        <f>40025+(3*365)</f>
        <v>41120</v>
      </c>
      <c r="D2878" s="18" t="s">
        <v>58</v>
      </c>
      <c r="E2878" s="18" t="s">
        <v>72</v>
      </c>
      <c r="F2878" s="21">
        <v>308</v>
      </c>
    </row>
    <row r="2879" spans="2:6" x14ac:dyDescent="0.25">
      <c r="B2879" s="18" t="s">
        <v>25</v>
      </c>
      <c r="C2879" s="19">
        <f>40543+(3*365)</f>
        <v>41638</v>
      </c>
      <c r="D2879" s="18" t="s">
        <v>78</v>
      </c>
      <c r="E2879" s="18" t="s">
        <v>64</v>
      </c>
      <c r="F2879" s="21">
        <v>3912</v>
      </c>
    </row>
    <row r="2880" spans="2:6" x14ac:dyDescent="0.25">
      <c r="B2880" s="18" t="s">
        <v>9</v>
      </c>
      <c r="C2880" s="19">
        <f>40024+(3*365)</f>
        <v>41119</v>
      </c>
      <c r="D2880" s="18" t="s">
        <v>80</v>
      </c>
      <c r="E2880" s="18" t="s">
        <v>64</v>
      </c>
      <c r="F2880" s="21">
        <v>3024</v>
      </c>
    </row>
    <row r="2881" spans="2:6" x14ac:dyDescent="0.25">
      <c r="B2881" s="18" t="s">
        <v>18</v>
      </c>
      <c r="C2881" s="19">
        <f>40023+(3*365)</f>
        <v>41118</v>
      </c>
      <c r="D2881" s="18" t="s">
        <v>71</v>
      </c>
      <c r="E2881" s="18" t="s">
        <v>63</v>
      </c>
      <c r="F2881" s="21">
        <v>348</v>
      </c>
    </row>
    <row r="2882" spans="2:6" x14ac:dyDescent="0.25">
      <c r="B2882" s="18" t="s">
        <v>31</v>
      </c>
      <c r="C2882" s="19">
        <f>39931+(3*365)</f>
        <v>41026</v>
      </c>
      <c r="D2882" s="18" t="s">
        <v>76</v>
      </c>
      <c r="E2882" s="18" t="s">
        <v>59</v>
      </c>
      <c r="F2882" s="21">
        <v>810</v>
      </c>
    </row>
    <row r="2883" spans="2:6" x14ac:dyDescent="0.25">
      <c r="B2883" s="18" t="s">
        <v>18</v>
      </c>
      <c r="C2883" s="19">
        <f>41122+(3*365)</f>
        <v>42217</v>
      </c>
      <c r="D2883" s="18" t="s">
        <v>68</v>
      </c>
      <c r="E2883" s="18" t="s">
        <v>61</v>
      </c>
      <c r="F2883" s="21">
        <v>870</v>
      </c>
    </row>
    <row r="2884" spans="2:6" x14ac:dyDescent="0.25">
      <c r="B2884" s="18" t="s">
        <v>31</v>
      </c>
      <c r="C2884" s="19">
        <f>39999+(3*365)</f>
        <v>41094</v>
      </c>
      <c r="D2884" s="18" t="s">
        <v>76</v>
      </c>
      <c r="E2884" s="18" t="s">
        <v>72</v>
      </c>
      <c r="F2884" s="21">
        <v>3675</v>
      </c>
    </row>
    <row r="2885" spans="2:6" x14ac:dyDescent="0.25">
      <c r="B2885" s="18" t="s">
        <v>8</v>
      </c>
      <c r="C2885" s="19">
        <f>40991+(3*365)</f>
        <v>42086</v>
      </c>
      <c r="D2885" s="18" t="s">
        <v>77</v>
      </c>
      <c r="E2885" s="18" t="s">
        <v>66</v>
      </c>
      <c r="F2885" s="21">
        <v>224</v>
      </c>
    </row>
    <row r="2886" spans="2:6" x14ac:dyDescent="0.25">
      <c r="B2886" s="18" t="s">
        <v>9</v>
      </c>
      <c r="C2886" s="19">
        <f>40683+(3*365)</f>
        <v>41778</v>
      </c>
      <c r="D2886" s="18" t="s">
        <v>62</v>
      </c>
      <c r="E2886" s="18" t="s">
        <v>61</v>
      </c>
      <c r="F2886" s="21">
        <v>1431</v>
      </c>
    </row>
    <row r="2887" spans="2:6" x14ac:dyDescent="0.25">
      <c r="B2887" s="18" t="s">
        <v>25</v>
      </c>
      <c r="C2887" s="19">
        <f>40130+(3*365)</f>
        <v>41225</v>
      </c>
      <c r="D2887" s="18" t="s">
        <v>79</v>
      </c>
      <c r="E2887" s="18" t="s">
        <v>69</v>
      </c>
      <c r="F2887" s="21">
        <v>1456</v>
      </c>
    </row>
    <row r="2888" spans="2:6" x14ac:dyDescent="0.25">
      <c r="B2888" s="18" t="s">
        <v>25</v>
      </c>
      <c r="C2888" s="19">
        <f>40798+(3*365)</f>
        <v>41893</v>
      </c>
      <c r="D2888" s="18" t="s">
        <v>79</v>
      </c>
      <c r="E2888" s="18" t="s">
        <v>69</v>
      </c>
      <c r="F2888" s="21">
        <v>3392</v>
      </c>
    </row>
    <row r="2889" spans="2:6" x14ac:dyDescent="0.25">
      <c r="B2889" s="18" t="s">
        <v>25</v>
      </c>
      <c r="C2889" s="19">
        <f>40555+(3*365)</f>
        <v>41650</v>
      </c>
      <c r="D2889" s="18" t="s">
        <v>79</v>
      </c>
      <c r="E2889" s="18" t="s">
        <v>59</v>
      </c>
      <c r="F2889" s="21">
        <v>296</v>
      </c>
    </row>
    <row r="2890" spans="2:6" x14ac:dyDescent="0.25">
      <c r="B2890" s="18" t="s">
        <v>9</v>
      </c>
      <c r="C2890" s="19">
        <f>40620+(3*365)</f>
        <v>41715</v>
      </c>
      <c r="D2890" s="18" t="s">
        <v>80</v>
      </c>
      <c r="E2890" s="18" t="s">
        <v>61</v>
      </c>
      <c r="F2890" s="21">
        <v>735</v>
      </c>
    </row>
    <row r="2891" spans="2:6" x14ac:dyDescent="0.25">
      <c r="B2891" s="18" t="s">
        <v>21</v>
      </c>
      <c r="C2891" s="19">
        <f>40683+(3*365)</f>
        <v>41778</v>
      </c>
      <c r="D2891" s="18" t="s">
        <v>58</v>
      </c>
      <c r="E2891" s="18" t="s">
        <v>69</v>
      </c>
      <c r="F2891" s="21">
        <v>393</v>
      </c>
    </row>
    <row r="2892" spans="2:6" x14ac:dyDescent="0.25">
      <c r="B2892" s="18" t="s">
        <v>21</v>
      </c>
      <c r="C2892" s="19">
        <f>41111+(3*365)</f>
        <v>42206</v>
      </c>
      <c r="D2892" s="18" t="s">
        <v>58</v>
      </c>
      <c r="E2892" s="18" t="s">
        <v>75</v>
      </c>
      <c r="F2892" s="21">
        <v>352</v>
      </c>
    </row>
    <row r="2893" spans="2:6" x14ac:dyDescent="0.25">
      <c r="B2893" s="18" t="s">
        <v>9</v>
      </c>
      <c r="C2893" s="19">
        <f>40333+(3*365)</f>
        <v>41428</v>
      </c>
      <c r="D2893" s="18" t="s">
        <v>80</v>
      </c>
      <c r="E2893" s="18" t="s">
        <v>64</v>
      </c>
      <c r="F2893" s="21">
        <v>7128</v>
      </c>
    </row>
    <row r="2894" spans="2:6" x14ac:dyDescent="0.25">
      <c r="B2894" s="18" t="s">
        <v>25</v>
      </c>
      <c r="C2894" s="19">
        <f>40445+(3*365)</f>
        <v>41540</v>
      </c>
      <c r="D2894" s="18" t="s">
        <v>78</v>
      </c>
      <c r="E2894" s="18" t="s">
        <v>59</v>
      </c>
      <c r="F2894" s="21">
        <v>252</v>
      </c>
    </row>
    <row r="2895" spans="2:6" x14ac:dyDescent="0.25">
      <c r="B2895" s="18" t="s">
        <v>25</v>
      </c>
      <c r="C2895" s="19">
        <f>40315+(3*365)</f>
        <v>41410</v>
      </c>
      <c r="D2895" s="18" t="s">
        <v>79</v>
      </c>
      <c r="E2895" s="18" t="s">
        <v>66</v>
      </c>
      <c r="F2895" s="21">
        <v>600</v>
      </c>
    </row>
    <row r="2896" spans="2:6" x14ac:dyDescent="0.25">
      <c r="B2896" s="18" t="s">
        <v>25</v>
      </c>
      <c r="C2896" s="19">
        <f>40598+(3*365)</f>
        <v>41693</v>
      </c>
      <c r="D2896" s="18" t="s">
        <v>79</v>
      </c>
      <c r="E2896" s="18" t="s">
        <v>72</v>
      </c>
      <c r="F2896" s="21">
        <v>7380</v>
      </c>
    </row>
    <row r="2897" spans="2:6" x14ac:dyDescent="0.25">
      <c r="B2897" s="18" t="s">
        <v>10</v>
      </c>
      <c r="C2897" s="19">
        <f>40807+(3*365)</f>
        <v>41902</v>
      </c>
      <c r="D2897" s="18" t="s">
        <v>67</v>
      </c>
      <c r="E2897" s="18" t="s">
        <v>69</v>
      </c>
      <c r="F2897" s="21">
        <v>196</v>
      </c>
    </row>
    <row r="2898" spans="2:6" x14ac:dyDescent="0.25">
      <c r="B2898" s="18" t="s">
        <v>10</v>
      </c>
      <c r="C2898" s="19">
        <f>40465+(3*365)</f>
        <v>41560</v>
      </c>
      <c r="D2898" s="18" t="s">
        <v>65</v>
      </c>
      <c r="E2898" s="18" t="s">
        <v>64</v>
      </c>
      <c r="F2898" s="21">
        <v>1620</v>
      </c>
    </row>
    <row r="2899" spans="2:6" x14ac:dyDescent="0.25">
      <c r="B2899" s="18" t="s">
        <v>9</v>
      </c>
      <c r="C2899" s="19">
        <f>40177+(3*365)</f>
        <v>41272</v>
      </c>
      <c r="D2899" s="18" t="s">
        <v>80</v>
      </c>
      <c r="E2899" s="18" t="s">
        <v>66</v>
      </c>
      <c r="F2899" s="21">
        <v>840</v>
      </c>
    </row>
    <row r="2900" spans="2:6" x14ac:dyDescent="0.25">
      <c r="B2900" s="18" t="s">
        <v>9</v>
      </c>
      <c r="C2900" s="19">
        <f>41256+(3*365)</f>
        <v>42351</v>
      </c>
      <c r="D2900" s="18" t="s">
        <v>62</v>
      </c>
      <c r="E2900" s="18" t="s">
        <v>64</v>
      </c>
      <c r="F2900" s="21">
        <v>1044</v>
      </c>
    </row>
    <row r="2901" spans="2:6" x14ac:dyDescent="0.25">
      <c r="B2901" s="18" t="s">
        <v>10</v>
      </c>
      <c r="C2901" s="19">
        <f>40971+(3*365)</f>
        <v>42066</v>
      </c>
      <c r="D2901" s="18" t="s">
        <v>67</v>
      </c>
      <c r="E2901" s="18" t="s">
        <v>72</v>
      </c>
      <c r="F2901" s="21">
        <v>1341</v>
      </c>
    </row>
    <row r="2902" spans="2:6" x14ac:dyDescent="0.25">
      <c r="B2902" s="18" t="s">
        <v>10</v>
      </c>
      <c r="C2902" s="19">
        <f>40474+(3*365)</f>
        <v>41569</v>
      </c>
      <c r="D2902" s="18" t="s">
        <v>67</v>
      </c>
      <c r="E2902" s="18" t="s">
        <v>59</v>
      </c>
      <c r="F2902" s="21">
        <v>288</v>
      </c>
    </row>
    <row r="2903" spans="2:6" x14ac:dyDescent="0.25">
      <c r="B2903" s="18" t="s">
        <v>25</v>
      </c>
      <c r="C2903" s="19">
        <f>40731+(3*365)</f>
        <v>41826</v>
      </c>
      <c r="D2903" s="18" t="s">
        <v>79</v>
      </c>
      <c r="E2903" s="18" t="s">
        <v>64</v>
      </c>
      <c r="F2903" s="21">
        <v>10280</v>
      </c>
    </row>
    <row r="2904" spans="2:6" x14ac:dyDescent="0.25">
      <c r="B2904" s="18" t="s">
        <v>25</v>
      </c>
      <c r="C2904" s="19">
        <f>41147+(3*365)</f>
        <v>42242</v>
      </c>
      <c r="D2904" s="18" t="s">
        <v>78</v>
      </c>
      <c r="E2904" s="18" t="s">
        <v>63</v>
      </c>
      <c r="F2904" s="21">
        <v>118</v>
      </c>
    </row>
    <row r="2905" spans="2:6" x14ac:dyDescent="0.25">
      <c r="B2905" s="18" t="s">
        <v>10</v>
      </c>
      <c r="C2905" s="19">
        <f>40561+(3*365)</f>
        <v>41656</v>
      </c>
      <c r="D2905" s="18" t="s">
        <v>67</v>
      </c>
      <c r="E2905" s="18" t="s">
        <v>69</v>
      </c>
      <c r="F2905" s="21">
        <v>476</v>
      </c>
    </row>
    <row r="2906" spans="2:6" x14ac:dyDescent="0.25">
      <c r="B2906" s="18" t="s">
        <v>31</v>
      </c>
      <c r="C2906" s="19">
        <f>40358+(3*365)</f>
        <v>41453</v>
      </c>
      <c r="D2906" s="18" t="s">
        <v>70</v>
      </c>
      <c r="E2906" s="18" t="s">
        <v>69</v>
      </c>
      <c r="F2906" s="21">
        <v>828</v>
      </c>
    </row>
    <row r="2907" spans="2:6" x14ac:dyDescent="0.25">
      <c r="B2907" s="18" t="s">
        <v>25</v>
      </c>
      <c r="C2907" s="19">
        <f>40901+(3*365)</f>
        <v>41996</v>
      </c>
      <c r="D2907" s="18" t="s">
        <v>79</v>
      </c>
      <c r="E2907" s="18" t="s">
        <v>69</v>
      </c>
      <c r="F2907" s="21">
        <v>540</v>
      </c>
    </row>
    <row r="2908" spans="2:6" x14ac:dyDescent="0.25">
      <c r="B2908" s="18" t="s">
        <v>11</v>
      </c>
      <c r="C2908" s="19">
        <f>40953+(3*365)</f>
        <v>42048</v>
      </c>
      <c r="D2908" s="18" t="s">
        <v>60</v>
      </c>
      <c r="E2908" s="18" t="s">
        <v>72</v>
      </c>
      <c r="F2908" s="21">
        <v>1992</v>
      </c>
    </row>
    <row r="2909" spans="2:6" x14ac:dyDescent="0.25">
      <c r="B2909" s="18" t="s">
        <v>31</v>
      </c>
      <c r="C2909" s="19">
        <f>39985+(3*365)</f>
        <v>41080</v>
      </c>
      <c r="D2909" s="18" t="s">
        <v>76</v>
      </c>
      <c r="E2909" s="18" t="s">
        <v>64</v>
      </c>
      <c r="F2909" s="21">
        <v>9261</v>
      </c>
    </row>
    <row r="2910" spans="2:6" x14ac:dyDescent="0.25">
      <c r="B2910" s="18" t="s">
        <v>25</v>
      </c>
      <c r="C2910" s="19">
        <f>41218+(3*365)</f>
        <v>42313</v>
      </c>
      <c r="D2910" s="18" t="s">
        <v>78</v>
      </c>
      <c r="E2910" s="18" t="s">
        <v>61</v>
      </c>
      <c r="F2910" s="21">
        <v>826</v>
      </c>
    </row>
    <row r="2911" spans="2:6" x14ac:dyDescent="0.25">
      <c r="B2911" s="18" t="s">
        <v>9</v>
      </c>
      <c r="C2911" s="19">
        <f>40507+(3*365)</f>
        <v>41602</v>
      </c>
      <c r="D2911" s="18" t="s">
        <v>62</v>
      </c>
      <c r="E2911" s="18" t="s">
        <v>69</v>
      </c>
      <c r="F2911" s="21">
        <v>1380</v>
      </c>
    </row>
    <row r="2912" spans="2:6" x14ac:dyDescent="0.25">
      <c r="B2912" s="18" t="s">
        <v>9</v>
      </c>
      <c r="C2912" s="19">
        <f>40678+(3*365)</f>
        <v>41773</v>
      </c>
      <c r="D2912" s="18" t="s">
        <v>62</v>
      </c>
      <c r="E2912" s="18" t="s">
        <v>66</v>
      </c>
      <c r="F2912" s="21">
        <v>1620</v>
      </c>
    </row>
    <row r="2913" spans="2:6" x14ac:dyDescent="0.25">
      <c r="B2913" s="18" t="s">
        <v>18</v>
      </c>
      <c r="C2913" s="19">
        <f>39925+(3*365)</f>
        <v>41020</v>
      </c>
      <c r="D2913" s="18" t="s">
        <v>71</v>
      </c>
      <c r="E2913" s="18" t="s">
        <v>64</v>
      </c>
      <c r="F2913" s="21">
        <v>4730</v>
      </c>
    </row>
    <row r="2914" spans="2:6" x14ac:dyDescent="0.25">
      <c r="B2914" s="18" t="s">
        <v>31</v>
      </c>
      <c r="C2914" s="19">
        <f>40702+(3*365)</f>
        <v>41797</v>
      </c>
      <c r="D2914" s="18" t="s">
        <v>76</v>
      </c>
      <c r="E2914" s="18" t="s">
        <v>64</v>
      </c>
      <c r="F2914" s="21">
        <v>9945</v>
      </c>
    </row>
    <row r="2915" spans="2:6" x14ac:dyDescent="0.25">
      <c r="B2915" s="18" t="s">
        <v>31</v>
      </c>
      <c r="C2915" s="19">
        <f>40643+(3*365)</f>
        <v>41738</v>
      </c>
      <c r="D2915" s="18" t="s">
        <v>70</v>
      </c>
      <c r="E2915" s="18" t="s">
        <v>75</v>
      </c>
      <c r="F2915" s="21">
        <v>768</v>
      </c>
    </row>
    <row r="2916" spans="2:6" x14ac:dyDescent="0.25">
      <c r="B2916" s="18" t="s">
        <v>31</v>
      </c>
      <c r="C2916" s="19">
        <f>40673+(3*365)</f>
        <v>41768</v>
      </c>
      <c r="D2916" s="18" t="s">
        <v>76</v>
      </c>
      <c r="E2916" s="18" t="s">
        <v>61</v>
      </c>
      <c r="F2916" s="21">
        <v>864</v>
      </c>
    </row>
    <row r="2917" spans="2:6" x14ac:dyDescent="0.25">
      <c r="B2917" s="18" t="s">
        <v>8</v>
      </c>
      <c r="C2917" s="19">
        <f>39834+(3*365)</f>
        <v>40929</v>
      </c>
      <c r="D2917" s="18" t="s">
        <v>81</v>
      </c>
      <c r="E2917" s="18" t="s">
        <v>61</v>
      </c>
      <c r="F2917" s="21">
        <v>141</v>
      </c>
    </row>
    <row r="2918" spans="2:6" x14ac:dyDescent="0.25">
      <c r="B2918" s="18" t="s">
        <v>18</v>
      </c>
      <c r="C2918" s="19">
        <f>40438+(3*365)</f>
        <v>41533</v>
      </c>
      <c r="D2918" s="18" t="s">
        <v>71</v>
      </c>
      <c r="E2918" s="18" t="s">
        <v>61</v>
      </c>
      <c r="F2918" s="21">
        <v>504</v>
      </c>
    </row>
    <row r="2919" spans="2:6" x14ac:dyDescent="0.25">
      <c r="B2919" s="18" t="s">
        <v>10</v>
      </c>
      <c r="C2919" s="19">
        <f>40579+(3*365)</f>
        <v>41674</v>
      </c>
      <c r="D2919" s="18" t="s">
        <v>67</v>
      </c>
      <c r="E2919" s="18" t="s">
        <v>63</v>
      </c>
      <c r="F2919" s="21">
        <v>310</v>
      </c>
    </row>
    <row r="2920" spans="2:6" x14ac:dyDescent="0.25">
      <c r="B2920" s="18" t="s">
        <v>9</v>
      </c>
      <c r="C2920" s="19">
        <f>40216+(3*365)</f>
        <v>41311</v>
      </c>
      <c r="D2920" s="18" t="s">
        <v>62</v>
      </c>
      <c r="E2920" s="18" t="s">
        <v>72</v>
      </c>
      <c r="F2920" s="21">
        <v>1404</v>
      </c>
    </row>
    <row r="2921" spans="2:6" x14ac:dyDescent="0.25">
      <c r="B2921" s="18" t="s">
        <v>8</v>
      </c>
      <c r="C2921" s="19">
        <f>41049+(3*365)</f>
        <v>42144</v>
      </c>
      <c r="D2921" s="18" t="s">
        <v>77</v>
      </c>
      <c r="E2921" s="18" t="s">
        <v>75</v>
      </c>
      <c r="F2921" s="21">
        <v>616</v>
      </c>
    </row>
    <row r="2922" spans="2:6" x14ac:dyDescent="0.25">
      <c r="B2922" s="18" t="s">
        <v>31</v>
      </c>
      <c r="C2922" s="19">
        <f>40317+(3*365)</f>
        <v>41412</v>
      </c>
      <c r="D2922" s="18" t="s">
        <v>76</v>
      </c>
      <c r="E2922" s="18" t="s">
        <v>61</v>
      </c>
      <c r="F2922" s="21">
        <v>210</v>
      </c>
    </row>
    <row r="2923" spans="2:6" x14ac:dyDescent="0.25">
      <c r="B2923" s="18" t="s">
        <v>25</v>
      </c>
      <c r="C2923" s="19">
        <f>40148+(3*365)</f>
        <v>41243</v>
      </c>
      <c r="D2923" s="18" t="s">
        <v>78</v>
      </c>
      <c r="E2923" s="18" t="s">
        <v>59</v>
      </c>
      <c r="F2923" s="21">
        <v>66</v>
      </c>
    </row>
    <row r="2924" spans="2:6" x14ac:dyDescent="0.25">
      <c r="B2924" s="18" t="s">
        <v>11</v>
      </c>
      <c r="C2924" s="19">
        <f>39887+(3*365)</f>
        <v>40982</v>
      </c>
      <c r="D2924" s="18" t="s">
        <v>74</v>
      </c>
      <c r="E2924" s="18" t="s">
        <v>66</v>
      </c>
      <c r="F2924" s="21">
        <v>1386</v>
      </c>
    </row>
    <row r="2925" spans="2:6" x14ac:dyDescent="0.25">
      <c r="B2925" s="18" t="s">
        <v>21</v>
      </c>
      <c r="C2925" s="19">
        <f>39960+(3*365)</f>
        <v>41055</v>
      </c>
      <c r="D2925" s="18" t="s">
        <v>58</v>
      </c>
      <c r="E2925" s="18" t="s">
        <v>63</v>
      </c>
      <c r="F2925" s="21">
        <v>204</v>
      </c>
    </row>
    <row r="2926" spans="2:6" x14ac:dyDescent="0.25">
      <c r="B2926" s="18" t="s">
        <v>9</v>
      </c>
      <c r="C2926" s="19">
        <f>40562+(3*365)</f>
        <v>41657</v>
      </c>
      <c r="D2926" s="18" t="s">
        <v>62</v>
      </c>
      <c r="E2926" s="18" t="s">
        <v>66</v>
      </c>
      <c r="F2926" s="21">
        <v>324</v>
      </c>
    </row>
    <row r="2927" spans="2:6" x14ac:dyDescent="0.25">
      <c r="B2927" s="18" t="s">
        <v>18</v>
      </c>
      <c r="C2927" s="19">
        <f>40325+(3*365)</f>
        <v>41420</v>
      </c>
      <c r="D2927" s="18" t="s">
        <v>68</v>
      </c>
      <c r="E2927" s="18" t="s">
        <v>59</v>
      </c>
      <c r="F2927" s="21">
        <v>567</v>
      </c>
    </row>
    <row r="2928" spans="2:6" x14ac:dyDescent="0.25">
      <c r="B2928" s="18" t="s">
        <v>8</v>
      </c>
      <c r="C2928" s="19">
        <f>40968+(3*365)</f>
        <v>42063</v>
      </c>
      <c r="D2928" s="18" t="s">
        <v>81</v>
      </c>
      <c r="E2928" s="18" t="s">
        <v>61</v>
      </c>
      <c r="F2928" s="21">
        <v>1224</v>
      </c>
    </row>
    <row r="2929" spans="2:6" x14ac:dyDescent="0.25">
      <c r="B2929" s="18" t="s">
        <v>31</v>
      </c>
      <c r="C2929" s="19">
        <f>40729+(3*365)</f>
        <v>41824</v>
      </c>
      <c r="D2929" s="18" t="s">
        <v>70</v>
      </c>
      <c r="E2929" s="18" t="s">
        <v>69</v>
      </c>
      <c r="F2929" s="21">
        <v>1512</v>
      </c>
    </row>
    <row r="2930" spans="2:6" x14ac:dyDescent="0.25">
      <c r="B2930" s="18" t="s">
        <v>21</v>
      </c>
      <c r="C2930" s="19">
        <f>39968+(3*365)</f>
        <v>41063</v>
      </c>
      <c r="D2930" s="18" t="s">
        <v>58</v>
      </c>
      <c r="E2930" s="18" t="s">
        <v>75</v>
      </c>
      <c r="F2930" s="21">
        <v>56</v>
      </c>
    </row>
    <row r="2931" spans="2:6" x14ac:dyDescent="0.25">
      <c r="B2931" s="18" t="s">
        <v>10</v>
      </c>
      <c r="C2931" s="19">
        <f>40572+(3*365)</f>
        <v>41667</v>
      </c>
      <c r="D2931" s="18" t="s">
        <v>67</v>
      </c>
      <c r="E2931" s="18" t="s">
        <v>59</v>
      </c>
      <c r="F2931" s="21">
        <v>68</v>
      </c>
    </row>
    <row r="2932" spans="2:6" x14ac:dyDescent="0.25">
      <c r="B2932" s="18" t="s">
        <v>25</v>
      </c>
      <c r="C2932" s="19">
        <f>41165+(3*365)</f>
        <v>42260</v>
      </c>
      <c r="D2932" s="18" t="s">
        <v>78</v>
      </c>
      <c r="E2932" s="18" t="s">
        <v>61</v>
      </c>
      <c r="F2932" s="21">
        <v>60</v>
      </c>
    </row>
    <row r="2933" spans="2:6" x14ac:dyDescent="0.25">
      <c r="B2933" s="18" t="s">
        <v>10</v>
      </c>
      <c r="C2933" s="19">
        <f>40728+(3*365)</f>
        <v>41823</v>
      </c>
      <c r="D2933" s="18" t="s">
        <v>65</v>
      </c>
      <c r="E2933" s="18" t="s">
        <v>64</v>
      </c>
      <c r="F2933" s="21">
        <v>9486</v>
      </c>
    </row>
    <row r="2934" spans="2:6" x14ac:dyDescent="0.25">
      <c r="B2934" s="18" t="s">
        <v>25</v>
      </c>
      <c r="C2934" s="19">
        <f>41235+(3*365)</f>
        <v>42330</v>
      </c>
      <c r="D2934" s="18" t="s">
        <v>78</v>
      </c>
      <c r="E2934" s="18" t="s">
        <v>61</v>
      </c>
      <c r="F2934" s="21">
        <v>124</v>
      </c>
    </row>
    <row r="2935" spans="2:6" x14ac:dyDescent="0.25">
      <c r="B2935" s="18" t="s">
        <v>8</v>
      </c>
      <c r="C2935" s="19">
        <f>40350+(3*365)</f>
        <v>41445</v>
      </c>
      <c r="D2935" s="18" t="s">
        <v>77</v>
      </c>
      <c r="E2935" s="18" t="s">
        <v>64</v>
      </c>
      <c r="F2935" s="21">
        <v>18696</v>
      </c>
    </row>
    <row r="2936" spans="2:6" x14ac:dyDescent="0.25">
      <c r="B2936" s="18" t="s">
        <v>25</v>
      </c>
      <c r="C2936" s="19">
        <f>41106+(3*365)</f>
        <v>42201</v>
      </c>
      <c r="D2936" s="18" t="s">
        <v>78</v>
      </c>
      <c r="E2936" s="18" t="s">
        <v>63</v>
      </c>
      <c r="F2936" s="21">
        <v>348</v>
      </c>
    </row>
    <row r="2937" spans="2:6" x14ac:dyDescent="0.25">
      <c r="B2937" s="18" t="s">
        <v>8</v>
      </c>
      <c r="C2937" s="19">
        <f>41011+(3*365)</f>
        <v>42106</v>
      </c>
      <c r="D2937" s="18" t="s">
        <v>81</v>
      </c>
      <c r="E2937" s="18" t="s">
        <v>59</v>
      </c>
      <c r="F2937" s="21">
        <v>264</v>
      </c>
    </row>
    <row r="2938" spans="2:6" x14ac:dyDescent="0.25">
      <c r="B2938" s="18" t="s">
        <v>25</v>
      </c>
      <c r="C2938" s="19">
        <f>39895+(3*365)</f>
        <v>40990</v>
      </c>
      <c r="D2938" s="18" t="s">
        <v>78</v>
      </c>
      <c r="E2938" s="18" t="s">
        <v>69</v>
      </c>
      <c r="F2938" s="21">
        <v>2880</v>
      </c>
    </row>
    <row r="2939" spans="2:6" x14ac:dyDescent="0.25">
      <c r="B2939" s="18" t="s">
        <v>21</v>
      </c>
      <c r="C2939" s="19">
        <f>41213+(3*365)</f>
        <v>42308</v>
      </c>
      <c r="D2939" s="18" t="s">
        <v>73</v>
      </c>
      <c r="E2939" s="18" t="s">
        <v>72</v>
      </c>
      <c r="F2939" s="21">
        <v>5920</v>
      </c>
    </row>
    <row r="2940" spans="2:6" x14ac:dyDescent="0.25">
      <c r="B2940" s="18" t="s">
        <v>31</v>
      </c>
      <c r="C2940" s="19">
        <f>40312+(3*365)</f>
        <v>41407</v>
      </c>
      <c r="D2940" s="18" t="s">
        <v>70</v>
      </c>
      <c r="E2940" s="18" t="s">
        <v>69</v>
      </c>
      <c r="F2940" s="21">
        <v>2619</v>
      </c>
    </row>
    <row r="2941" spans="2:6" x14ac:dyDescent="0.25">
      <c r="B2941" s="18" t="s">
        <v>8</v>
      </c>
      <c r="C2941" s="19">
        <f>40864+(3*365)</f>
        <v>41959</v>
      </c>
      <c r="D2941" s="18" t="s">
        <v>77</v>
      </c>
      <c r="E2941" s="18" t="s">
        <v>64</v>
      </c>
      <c r="F2941" s="21">
        <v>13888</v>
      </c>
    </row>
    <row r="2942" spans="2:6" x14ac:dyDescent="0.25">
      <c r="B2942" s="18" t="s">
        <v>11</v>
      </c>
      <c r="C2942" s="19">
        <f>41154+(3*365)</f>
        <v>42249</v>
      </c>
      <c r="D2942" s="18" t="s">
        <v>74</v>
      </c>
      <c r="E2942" s="18" t="s">
        <v>69</v>
      </c>
      <c r="F2942" s="21">
        <v>1152</v>
      </c>
    </row>
    <row r="2943" spans="2:6" x14ac:dyDescent="0.25">
      <c r="B2943" s="18" t="s">
        <v>25</v>
      </c>
      <c r="C2943" s="19">
        <f>40391+(3*365)</f>
        <v>41486</v>
      </c>
      <c r="D2943" s="18" t="s">
        <v>78</v>
      </c>
      <c r="E2943" s="18" t="s">
        <v>69</v>
      </c>
      <c r="F2943" s="21">
        <v>888</v>
      </c>
    </row>
    <row r="2944" spans="2:6" x14ac:dyDescent="0.25">
      <c r="B2944" s="18" t="s">
        <v>9</v>
      </c>
      <c r="C2944" s="19">
        <f>40209+(3*365)</f>
        <v>41304</v>
      </c>
      <c r="D2944" s="18" t="s">
        <v>62</v>
      </c>
      <c r="E2944" s="18" t="s">
        <v>69</v>
      </c>
      <c r="F2944" s="21">
        <v>1134</v>
      </c>
    </row>
    <row r="2945" spans="2:6" x14ac:dyDescent="0.25">
      <c r="B2945" s="18" t="s">
        <v>9</v>
      </c>
      <c r="C2945" s="19">
        <f>41251+(3*365)</f>
        <v>42346</v>
      </c>
      <c r="D2945" s="18" t="s">
        <v>80</v>
      </c>
      <c r="E2945" s="18" t="s">
        <v>59</v>
      </c>
      <c r="F2945" s="21">
        <v>315</v>
      </c>
    </row>
    <row r="2946" spans="2:6" x14ac:dyDescent="0.25">
      <c r="B2946" s="18" t="s">
        <v>31</v>
      </c>
      <c r="C2946" s="19">
        <f>40212+(3*365)</f>
        <v>41307</v>
      </c>
      <c r="D2946" s="18" t="s">
        <v>76</v>
      </c>
      <c r="E2946" s="18" t="s">
        <v>69</v>
      </c>
      <c r="F2946" s="21">
        <v>210</v>
      </c>
    </row>
    <row r="2947" spans="2:6" x14ac:dyDescent="0.25">
      <c r="B2947" s="18" t="s">
        <v>10</v>
      </c>
      <c r="C2947" s="19">
        <f>41041+(3*365)</f>
        <v>42136</v>
      </c>
      <c r="D2947" s="18" t="s">
        <v>67</v>
      </c>
      <c r="E2947" s="18" t="s">
        <v>66</v>
      </c>
      <c r="F2947" s="21">
        <v>1344</v>
      </c>
    </row>
    <row r="2948" spans="2:6" x14ac:dyDescent="0.25">
      <c r="B2948" s="18" t="s">
        <v>9</v>
      </c>
      <c r="C2948" s="19">
        <f>40989+(3*365)</f>
        <v>42084</v>
      </c>
      <c r="D2948" s="18" t="s">
        <v>80</v>
      </c>
      <c r="E2948" s="18" t="s">
        <v>72</v>
      </c>
      <c r="F2948" s="21">
        <v>966</v>
      </c>
    </row>
    <row r="2949" spans="2:6" x14ac:dyDescent="0.25">
      <c r="B2949" s="18" t="s">
        <v>25</v>
      </c>
      <c r="C2949" s="19">
        <f>40426+(3*365)</f>
        <v>41521</v>
      </c>
      <c r="D2949" s="18" t="s">
        <v>78</v>
      </c>
      <c r="E2949" s="18" t="s">
        <v>66</v>
      </c>
      <c r="F2949" s="21">
        <v>1872</v>
      </c>
    </row>
    <row r="2950" spans="2:6" x14ac:dyDescent="0.25">
      <c r="B2950" s="18" t="s">
        <v>10</v>
      </c>
      <c r="C2950" s="19">
        <f>40056+(3*365)</f>
        <v>41151</v>
      </c>
      <c r="D2950" s="18" t="s">
        <v>65</v>
      </c>
      <c r="E2950" s="18" t="s">
        <v>61</v>
      </c>
      <c r="F2950" s="21">
        <v>124</v>
      </c>
    </row>
    <row r="2951" spans="2:6" x14ac:dyDescent="0.25">
      <c r="B2951" s="18" t="s">
        <v>21</v>
      </c>
      <c r="C2951" s="19">
        <f>40862+(3*365)</f>
        <v>41957</v>
      </c>
      <c r="D2951" s="18" t="s">
        <v>58</v>
      </c>
      <c r="E2951" s="18" t="s">
        <v>66</v>
      </c>
      <c r="F2951" s="21">
        <v>246</v>
      </c>
    </row>
    <row r="2952" spans="2:6" x14ac:dyDescent="0.25">
      <c r="B2952" s="18" t="s">
        <v>9</v>
      </c>
      <c r="C2952" s="19">
        <f>40019+(3*365)</f>
        <v>41114</v>
      </c>
      <c r="D2952" s="18" t="s">
        <v>62</v>
      </c>
      <c r="E2952" s="18" t="s">
        <v>66</v>
      </c>
      <c r="F2952" s="21">
        <v>260</v>
      </c>
    </row>
    <row r="2953" spans="2:6" x14ac:dyDescent="0.25">
      <c r="B2953" s="18" t="s">
        <v>8</v>
      </c>
      <c r="C2953" s="19">
        <f>40067+(3*365)</f>
        <v>41162</v>
      </c>
      <c r="D2953" s="18" t="s">
        <v>77</v>
      </c>
      <c r="E2953" s="18" t="s">
        <v>66</v>
      </c>
      <c r="F2953" s="21">
        <v>225</v>
      </c>
    </row>
    <row r="2954" spans="2:6" x14ac:dyDescent="0.25">
      <c r="B2954" s="18" t="s">
        <v>9</v>
      </c>
      <c r="C2954" s="19">
        <f>41016+(3*365)</f>
        <v>42111</v>
      </c>
      <c r="D2954" s="18" t="s">
        <v>62</v>
      </c>
      <c r="E2954" s="18" t="s">
        <v>75</v>
      </c>
      <c r="F2954" s="21">
        <v>28</v>
      </c>
    </row>
    <row r="2955" spans="2:6" x14ac:dyDescent="0.25">
      <c r="B2955" s="18" t="s">
        <v>18</v>
      </c>
      <c r="C2955" s="19">
        <f>41030+(3*365)</f>
        <v>42125</v>
      </c>
      <c r="D2955" s="18" t="s">
        <v>68</v>
      </c>
      <c r="E2955" s="18" t="s">
        <v>63</v>
      </c>
      <c r="F2955" s="21">
        <v>870</v>
      </c>
    </row>
    <row r="2956" spans="2:6" x14ac:dyDescent="0.25">
      <c r="B2956" s="18" t="s">
        <v>10</v>
      </c>
      <c r="C2956" s="19">
        <f>40711+(3*365)</f>
        <v>41806</v>
      </c>
      <c r="D2956" s="18" t="s">
        <v>67</v>
      </c>
      <c r="E2956" s="18" t="s">
        <v>72</v>
      </c>
      <c r="F2956" s="21">
        <v>4592</v>
      </c>
    </row>
    <row r="2957" spans="2:6" x14ac:dyDescent="0.25">
      <c r="B2957" s="18" t="s">
        <v>21</v>
      </c>
      <c r="C2957" s="19">
        <f>41136+(3*365)</f>
        <v>42231</v>
      </c>
      <c r="D2957" s="18" t="s">
        <v>58</v>
      </c>
      <c r="E2957" s="18" t="s">
        <v>59</v>
      </c>
      <c r="F2957" s="21">
        <v>204</v>
      </c>
    </row>
    <row r="2958" spans="2:6" x14ac:dyDescent="0.25">
      <c r="B2958" s="18" t="s">
        <v>18</v>
      </c>
      <c r="C2958" s="19">
        <f>40411+(3*365)</f>
        <v>41506</v>
      </c>
      <c r="D2958" s="18" t="s">
        <v>68</v>
      </c>
      <c r="E2958" s="18" t="s">
        <v>63</v>
      </c>
      <c r="F2958" s="21">
        <v>480</v>
      </c>
    </row>
    <row r="2959" spans="2:6" x14ac:dyDescent="0.25">
      <c r="B2959" s="18" t="s">
        <v>10</v>
      </c>
      <c r="C2959" s="19">
        <f>40217+(3*365)</f>
        <v>41312</v>
      </c>
      <c r="D2959" s="18" t="s">
        <v>67</v>
      </c>
      <c r="E2959" s="18" t="s">
        <v>75</v>
      </c>
      <c r="F2959" s="21">
        <v>936</v>
      </c>
    </row>
    <row r="2960" spans="2:6" x14ac:dyDescent="0.25">
      <c r="B2960" s="18" t="s">
        <v>21</v>
      </c>
      <c r="C2960" s="19">
        <f>41219+(3*365)</f>
        <v>42314</v>
      </c>
      <c r="D2960" s="18" t="s">
        <v>58</v>
      </c>
      <c r="E2960" s="18" t="s">
        <v>72</v>
      </c>
      <c r="F2960" s="21">
        <v>672</v>
      </c>
    </row>
    <row r="2961" spans="2:6" x14ac:dyDescent="0.25">
      <c r="B2961" s="18" t="s">
        <v>18</v>
      </c>
      <c r="C2961" s="19">
        <f>40177+(3*365)</f>
        <v>41272</v>
      </c>
      <c r="D2961" s="18" t="s">
        <v>68</v>
      </c>
      <c r="E2961" s="18" t="s">
        <v>63</v>
      </c>
      <c r="F2961" s="21">
        <v>780</v>
      </c>
    </row>
    <row r="2962" spans="2:6" x14ac:dyDescent="0.25">
      <c r="B2962" s="18" t="s">
        <v>21</v>
      </c>
      <c r="C2962" s="19">
        <f>40252+(3*365)</f>
        <v>41347</v>
      </c>
      <c r="D2962" s="18" t="s">
        <v>58</v>
      </c>
      <c r="E2962" s="18" t="s">
        <v>72</v>
      </c>
      <c r="F2962" s="21">
        <v>948</v>
      </c>
    </row>
    <row r="2963" spans="2:6" x14ac:dyDescent="0.25">
      <c r="B2963" s="18" t="s">
        <v>31</v>
      </c>
      <c r="C2963" s="19">
        <f>40006+(3*365)</f>
        <v>41101</v>
      </c>
      <c r="D2963" s="18" t="s">
        <v>76</v>
      </c>
      <c r="E2963" s="18" t="s">
        <v>63</v>
      </c>
      <c r="F2963" s="21">
        <v>744</v>
      </c>
    </row>
    <row r="2964" spans="2:6" x14ac:dyDescent="0.25">
      <c r="B2964" s="18" t="s">
        <v>25</v>
      </c>
      <c r="C2964" s="19">
        <f>40550+(3*365)</f>
        <v>41645</v>
      </c>
      <c r="D2964" s="18" t="s">
        <v>79</v>
      </c>
      <c r="E2964" s="18" t="s">
        <v>72</v>
      </c>
      <c r="F2964" s="21">
        <v>2096</v>
      </c>
    </row>
    <row r="2965" spans="2:6" x14ac:dyDescent="0.25">
      <c r="B2965" s="18" t="s">
        <v>8</v>
      </c>
      <c r="C2965" s="19">
        <f>39919+(3*365)</f>
        <v>41014</v>
      </c>
      <c r="D2965" s="18" t="s">
        <v>81</v>
      </c>
      <c r="E2965" s="18" t="s">
        <v>59</v>
      </c>
      <c r="F2965" s="21">
        <v>348</v>
      </c>
    </row>
    <row r="2966" spans="2:6" x14ac:dyDescent="0.25">
      <c r="B2966" s="18" t="s">
        <v>8</v>
      </c>
      <c r="C2966" s="19">
        <f>40529+(3*365)</f>
        <v>41624</v>
      </c>
      <c r="D2966" s="18" t="s">
        <v>77</v>
      </c>
      <c r="E2966" s="18" t="s">
        <v>61</v>
      </c>
      <c r="F2966" s="21">
        <v>1104</v>
      </c>
    </row>
    <row r="2967" spans="2:6" x14ac:dyDescent="0.25">
      <c r="B2967" s="18" t="s">
        <v>8</v>
      </c>
      <c r="C2967" s="19">
        <f>40832+(3*365)</f>
        <v>41927</v>
      </c>
      <c r="D2967" s="18" t="s">
        <v>81</v>
      </c>
      <c r="E2967" s="18" t="s">
        <v>66</v>
      </c>
      <c r="F2967" s="21">
        <v>768</v>
      </c>
    </row>
    <row r="2968" spans="2:6" x14ac:dyDescent="0.25">
      <c r="B2968" s="18" t="s">
        <v>18</v>
      </c>
      <c r="C2968" s="19">
        <f>40018+(3*365)</f>
        <v>41113</v>
      </c>
      <c r="D2968" s="18" t="s">
        <v>71</v>
      </c>
      <c r="E2968" s="18" t="s">
        <v>63</v>
      </c>
      <c r="F2968" s="21">
        <v>468</v>
      </c>
    </row>
    <row r="2969" spans="2:6" x14ac:dyDescent="0.25">
      <c r="B2969" s="18" t="s">
        <v>9</v>
      </c>
      <c r="C2969" s="19">
        <f>40279+(3*365)</f>
        <v>41374</v>
      </c>
      <c r="D2969" s="18" t="s">
        <v>80</v>
      </c>
      <c r="E2969" s="18" t="s">
        <v>72</v>
      </c>
      <c r="F2969" s="21">
        <v>134</v>
      </c>
    </row>
    <row r="2970" spans="2:6" x14ac:dyDescent="0.25">
      <c r="B2970" s="18" t="s">
        <v>18</v>
      </c>
      <c r="C2970" s="19">
        <f>40937+(3*365)</f>
        <v>42032</v>
      </c>
      <c r="D2970" s="18" t="s">
        <v>68</v>
      </c>
      <c r="E2970" s="18" t="s">
        <v>61</v>
      </c>
      <c r="F2970" s="21">
        <v>792</v>
      </c>
    </row>
    <row r="2971" spans="2:6" x14ac:dyDescent="0.25">
      <c r="B2971" s="18" t="s">
        <v>10</v>
      </c>
      <c r="C2971" s="19">
        <f>41174+(3*365)</f>
        <v>42269</v>
      </c>
      <c r="D2971" s="18" t="s">
        <v>65</v>
      </c>
      <c r="E2971" s="18" t="s">
        <v>61</v>
      </c>
      <c r="F2971" s="21">
        <v>369</v>
      </c>
    </row>
    <row r="2972" spans="2:6" x14ac:dyDescent="0.25">
      <c r="B2972" s="18" t="s">
        <v>21</v>
      </c>
      <c r="C2972" s="19">
        <f>40004+(3*365)</f>
        <v>41099</v>
      </c>
      <c r="D2972" s="18" t="s">
        <v>58</v>
      </c>
      <c r="E2972" s="18" t="s">
        <v>69</v>
      </c>
      <c r="F2972" s="21">
        <v>531</v>
      </c>
    </row>
    <row r="2973" spans="2:6" x14ac:dyDescent="0.25">
      <c r="B2973" s="18" t="s">
        <v>8</v>
      </c>
      <c r="C2973" s="19">
        <f>40195+(3*365)</f>
        <v>41290</v>
      </c>
      <c r="D2973" s="18" t="s">
        <v>81</v>
      </c>
      <c r="E2973" s="18" t="s">
        <v>61</v>
      </c>
      <c r="F2973" s="21">
        <v>2592</v>
      </c>
    </row>
    <row r="2974" spans="2:6" x14ac:dyDescent="0.25">
      <c r="B2974" s="18" t="s">
        <v>8</v>
      </c>
      <c r="C2974" s="19">
        <f>41019+(3*365)</f>
        <v>42114</v>
      </c>
      <c r="D2974" s="18" t="s">
        <v>77</v>
      </c>
      <c r="E2974" s="18" t="s">
        <v>75</v>
      </c>
      <c r="F2974" s="21">
        <v>448</v>
      </c>
    </row>
    <row r="2975" spans="2:6" x14ac:dyDescent="0.25">
      <c r="B2975" s="18" t="s">
        <v>9</v>
      </c>
      <c r="C2975" s="19">
        <f>40796+(3*365)</f>
        <v>41891</v>
      </c>
      <c r="D2975" s="18" t="s">
        <v>80</v>
      </c>
      <c r="E2975" s="18" t="s">
        <v>63</v>
      </c>
      <c r="F2975" s="21">
        <v>450</v>
      </c>
    </row>
    <row r="2976" spans="2:6" x14ac:dyDescent="0.25">
      <c r="B2976" s="18" t="s">
        <v>8</v>
      </c>
      <c r="C2976" s="19">
        <f>40393+(3*365)</f>
        <v>41488</v>
      </c>
      <c r="D2976" s="18" t="s">
        <v>77</v>
      </c>
      <c r="E2976" s="18" t="s">
        <v>59</v>
      </c>
      <c r="F2976" s="21">
        <v>1036</v>
      </c>
    </row>
    <row r="2977" spans="2:6" x14ac:dyDescent="0.25">
      <c r="B2977" s="18" t="s">
        <v>9</v>
      </c>
      <c r="C2977" s="19">
        <f>40927+(3*365)</f>
        <v>42022</v>
      </c>
      <c r="D2977" s="18" t="s">
        <v>62</v>
      </c>
      <c r="E2977" s="18" t="s">
        <v>59</v>
      </c>
      <c r="F2977" s="21">
        <v>168</v>
      </c>
    </row>
    <row r="2978" spans="2:6" x14ac:dyDescent="0.25">
      <c r="B2978" s="18" t="s">
        <v>21</v>
      </c>
      <c r="C2978" s="19">
        <f>39872+(3*365)</f>
        <v>40967</v>
      </c>
      <c r="D2978" s="18" t="s">
        <v>73</v>
      </c>
      <c r="E2978" s="18" t="s">
        <v>69</v>
      </c>
      <c r="F2978" s="21">
        <v>1200</v>
      </c>
    </row>
    <row r="2979" spans="2:6" x14ac:dyDescent="0.25">
      <c r="B2979" s="18" t="s">
        <v>11</v>
      </c>
      <c r="C2979" s="19">
        <f>40898+(3*365)</f>
        <v>41993</v>
      </c>
      <c r="D2979" s="18" t="s">
        <v>60</v>
      </c>
      <c r="E2979" s="18" t="s">
        <v>64</v>
      </c>
      <c r="F2979" s="21">
        <v>19062</v>
      </c>
    </row>
    <row r="2980" spans="2:6" x14ac:dyDescent="0.25">
      <c r="B2980" s="18" t="s">
        <v>9</v>
      </c>
      <c r="C2980" s="19">
        <f>41058+(3*365)</f>
        <v>42153</v>
      </c>
      <c r="D2980" s="18" t="s">
        <v>80</v>
      </c>
      <c r="E2980" s="18" t="s">
        <v>66</v>
      </c>
      <c r="F2980" s="21">
        <v>51</v>
      </c>
    </row>
    <row r="2981" spans="2:6" x14ac:dyDescent="0.25">
      <c r="B2981" s="18" t="s">
        <v>8</v>
      </c>
      <c r="C2981" s="19">
        <f>40873+(3*365)</f>
        <v>41968</v>
      </c>
      <c r="D2981" s="18" t="s">
        <v>81</v>
      </c>
      <c r="E2981" s="18" t="s">
        <v>66</v>
      </c>
      <c r="F2981" s="21">
        <v>344</v>
      </c>
    </row>
    <row r="2982" spans="2:6" x14ac:dyDescent="0.25">
      <c r="B2982" s="18" t="s">
        <v>31</v>
      </c>
      <c r="C2982" s="19">
        <f>40347+(3*365)</f>
        <v>41442</v>
      </c>
      <c r="D2982" s="18" t="s">
        <v>70</v>
      </c>
      <c r="E2982" s="18" t="s">
        <v>63</v>
      </c>
      <c r="F2982" s="21">
        <v>372</v>
      </c>
    </row>
    <row r="2983" spans="2:6" x14ac:dyDescent="0.25">
      <c r="B2983" s="18" t="s">
        <v>8</v>
      </c>
      <c r="C2983" s="19">
        <f>40989+(3*365)</f>
        <v>42084</v>
      </c>
      <c r="D2983" s="18" t="s">
        <v>77</v>
      </c>
      <c r="E2983" s="18" t="s">
        <v>72</v>
      </c>
      <c r="F2983" s="21">
        <v>2592</v>
      </c>
    </row>
    <row r="2984" spans="2:6" x14ac:dyDescent="0.25">
      <c r="B2984" s="18" t="s">
        <v>25</v>
      </c>
      <c r="C2984" s="19">
        <f>40226+(3*365)</f>
        <v>41321</v>
      </c>
      <c r="D2984" s="18" t="s">
        <v>78</v>
      </c>
      <c r="E2984" s="18" t="s">
        <v>59</v>
      </c>
      <c r="F2984" s="21">
        <v>153</v>
      </c>
    </row>
    <row r="2985" spans="2:6" x14ac:dyDescent="0.25">
      <c r="B2985" s="18" t="s">
        <v>9</v>
      </c>
      <c r="C2985" s="19">
        <f>40830+(3*365)</f>
        <v>41925</v>
      </c>
      <c r="D2985" s="18" t="s">
        <v>62</v>
      </c>
      <c r="E2985" s="18" t="s">
        <v>75</v>
      </c>
      <c r="F2985" s="21">
        <v>735</v>
      </c>
    </row>
    <row r="2986" spans="2:6" x14ac:dyDescent="0.25">
      <c r="B2986" s="18" t="s">
        <v>9</v>
      </c>
      <c r="C2986" s="19">
        <f>40539+(3*365)</f>
        <v>41634</v>
      </c>
      <c r="D2986" s="18" t="s">
        <v>80</v>
      </c>
      <c r="E2986" s="18" t="s">
        <v>64</v>
      </c>
      <c r="F2986" s="21">
        <v>6464</v>
      </c>
    </row>
    <row r="2987" spans="2:6" x14ac:dyDescent="0.25">
      <c r="B2987" s="18" t="s">
        <v>25</v>
      </c>
      <c r="C2987" s="19">
        <f>40274+(3*365)</f>
        <v>41369</v>
      </c>
      <c r="D2987" s="18" t="s">
        <v>78</v>
      </c>
      <c r="E2987" s="18" t="s">
        <v>69</v>
      </c>
      <c r="F2987" s="21">
        <v>312</v>
      </c>
    </row>
    <row r="2988" spans="2:6" x14ac:dyDescent="0.25">
      <c r="B2988" s="18" t="s">
        <v>21</v>
      </c>
      <c r="C2988" s="19">
        <f>40411+(3*365)</f>
        <v>41506</v>
      </c>
      <c r="D2988" s="18" t="s">
        <v>58</v>
      </c>
      <c r="E2988" s="18" t="s">
        <v>63</v>
      </c>
      <c r="F2988" s="21">
        <v>520</v>
      </c>
    </row>
    <row r="2989" spans="2:6" x14ac:dyDescent="0.25">
      <c r="B2989" s="18" t="s">
        <v>8</v>
      </c>
      <c r="C2989" s="19">
        <f>40362+(3*365)</f>
        <v>41457</v>
      </c>
      <c r="D2989" s="18" t="s">
        <v>77</v>
      </c>
      <c r="E2989" s="18" t="s">
        <v>69</v>
      </c>
      <c r="F2989" s="21">
        <v>3712</v>
      </c>
    </row>
    <row r="2990" spans="2:6" x14ac:dyDescent="0.25">
      <c r="B2990" s="18" t="s">
        <v>11</v>
      </c>
      <c r="C2990" s="19">
        <f>41123+(3*365)</f>
        <v>42218</v>
      </c>
      <c r="D2990" s="18" t="s">
        <v>60</v>
      </c>
      <c r="E2990" s="18" t="s">
        <v>66</v>
      </c>
      <c r="F2990" s="21">
        <v>600</v>
      </c>
    </row>
    <row r="2991" spans="2:6" x14ac:dyDescent="0.25">
      <c r="B2991" s="18" t="s">
        <v>8</v>
      </c>
      <c r="C2991" s="19">
        <f>39970+(3*365)</f>
        <v>41065</v>
      </c>
      <c r="D2991" s="18" t="s">
        <v>77</v>
      </c>
      <c r="E2991" s="18" t="s">
        <v>61</v>
      </c>
      <c r="F2991" s="21">
        <v>756</v>
      </c>
    </row>
    <row r="2992" spans="2:6" x14ac:dyDescent="0.25">
      <c r="B2992" s="18" t="s">
        <v>25</v>
      </c>
      <c r="C2992" s="19">
        <f>40775+(3*365)</f>
        <v>41870</v>
      </c>
      <c r="D2992" s="18" t="s">
        <v>78</v>
      </c>
      <c r="E2992" s="18" t="s">
        <v>66</v>
      </c>
      <c r="F2992" s="21">
        <v>1260</v>
      </c>
    </row>
    <row r="2993" spans="2:6" x14ac:dyDescent="0.25">
      <c r="B2993" s="18" t="s">
        <v>9</v>
      </c>
      <c r="C2993" s="19">
        <f>40279+(3*365)</f>
        <v>41374</v>
      </c>
      <c r="D2993" s="18" t="s">
        <v>80</v>
      </c>
      <c r="E2993" s="18" t="s">
        <v>64</v>
      </c>
      <c r="F2993" s="21">
        <v>3306</v>
      </c>
    </row>
    <row r="2994" spans="2:6" x14ac:dyDescent="0.25">
      <c r="B2994" s="18" t="s">
        <v>10</v>
      </c>
      <c r="C2994" s="19">
        <f>40896+(3*365)</f>
        <v>41991</v>
      </c>
      <c r="D2994" s="18" t="s">
        <v>67</v>
      </c>
      <c r="E2994" s="18" t="s">
        <v>64</v>
      </c>
      <c r="F2994" s="21">
        <v>6090</v>
      </c>
    </row>
    <row r="2995" spans="2:6" x14ac:dyDescent="0.25">
      <c r="B2995" s="18" t="s">
        <v>25</v>
      </c>
      <c r="C2995" s="19">
        <f>41014+(3*365)</f>
        <v>42109</v>
      </c>
      <c r="D2995" s="18" t="s">
        <v>79</v>
      </c>
      <c r="E2995" s="18" t="s">
        <v>69</v>
      </c>
      <c r="F2995" s="21">
        <v>1246</v>
      </c>
    </row>
    <row r="2996" spans="2:6" x14ac:dyDescent="0.25">
      <c r="B2996" s="18" t="s">
        <v>31</v>
      </c>
      <c r="C2996" s="19">
        <f>40299+(3*365)</f>
        <v>41394</v>
      </c>
      <c r="D2996" s="18" t="s">
        <v>76</v>
      </c>
      <c r="E2996" s="18" t="s">
        <v>69</v>
      </c>
      <c r="F2996" s="21">
        <v>1752</v>
      </c>
    </row>
    <row r="2997" spans="2:6" x14ac:dyDescent="0.25">
      <c r="B2997" s="18" t="s">
        <v>21</v>
      </c>
      <c r="C2997" s="19">
        <f>39949+(3*365)</f>
        <v>41044</v>
      </c>
      <c r="D2997" s="18" t="s">
        <v>73</v>
      </c>
      <c r="E2997" s="18" t="s">
        <v>64</v>
      </c>
      <c r="F2997" s="21">
        <v>1528</v>
      </c>
    </row>
    <row r="2998" spans="2:6" x14ac:dyDescent="0.25">
      <c r="B2998" s="18" t="s">
        <v>10</v>
      </c>
      <c r="C2998" s="19">
        <f>41176+(3*365)</f>
        <v>42271</v>
      </c>
      <c r="D2998" s="18" t="s">
        <v>67</v>
      </c>
      <c r="E2998" s="18" t="s">
        <v>69</v>
      </c>
      <c r="F2998" s="21">
        <v>4968</v>
      </c>
    </row>
    <row r="2999" spans="2:6" x14ac:dyDescent="0.25">
      <c r="B2999" s="18" t="s">
        <v>18</v>
      </c>
      <c r="C2999" s="19">
        <f>40049+(3*365)</f>
        <v>41144</v>
      </c>
      <c r="D2999" s="18" t="s">
        <v>71</v>
      </c>
      <c r="E2999" s="18" t="s">
        <v>61</v>
      </c>
      <c r="F2999" s="21">
        <v>188</v>
      </c>
    </row>
    <row r="3000" spans="2:6" x14ac:dyDescent="0.25">
      <c r="B3000" s="18" t="s">
        <v>10</v>
      </c>
      <c r="C3000" s="19">
        <f>39939+(3*365)</f>
        <v>41034</v>
      </c>
      <c r="D3000" s="18" t="s">
        <v>65</v>
      </c>
      <c r="E3000" s="18" t="s">
        <v>69</v>
      </c>
      <c r="F3000" s="21">
        <v>728</v>
      </c>
    </row>
    <row r="3001" spans="2:6" x14ac:dyDescent="0.25">
      <c r="B3001" s="18" t="s">
        <v>11</v>
      </c>
      <c r="C3001" s="19">
        <f>41198+(3*365)</f>
        <v>42293</v>
      </c>
      <c r="D3001" s="18" t="s">
        <v>60</v>
      </c>
      <c r="E3001" s="18" t="s">
        <v>66</v>
      </c>
      <c r="F3001" s="21">
        <v>760</v>
      </c>
    </row>
    <row r="3002" spans="2:6" x14ac:dyDescent="0.25">
      <c r="B3002" s="18" t="s">
        <v>18</v>
      </c>
      <c r="C3002" s="19">
        <f>39972+(3*365)</f>
        <v>41067</v>
      </c>
      <c r="D3002" s="18" t="s">
        <v>68</v>
      </c>
      <c r="E3002" s="18" t="s">
        <v>75</v>
      </c>
      <c r="F3002" s="21">
        <v>518</v>
      </c>
    </row>
    <row r="3003" spans="2:6" x14ac:dyDescent="0.25">
      <c r="B3003" s="18" t="s">
        <v>11</v>
      </c>
      <c r="C3003" s="19">
        <f>40272+(3*365)</f>
        <v>41367</v>
      </c>
      <c r="D3003" s="18" t="s">
        <v>74</v>
      </c>
      <c r="E3003" s="18" t="s">
        <v>59</v>
      </c>
      <c r="F3003" s="21">
        <v>345</v>
      </c>
    </row>
    <row r="3004" spans="2:6" x14ac:dyDescent="0.25">
      <c r="B3004" s="18" t="s">
        <v>8</v>
      </c>
      <c r="C3004" s="19">
        <f>41132+(3*365)</f>
        <v>42227</v>
      </c>
      <c r="D3004" s="18" t="s">
        <v>77</v>
      </c>
      <c r="E3004" s="18" t="s">
        <v>66</v>
      </c>
      <c r="F3004" s="21">
        <v>2052</v>
      </c>
    </row>
    <row r="3005" spans="2:6" x14ac:dyDescent="0.25">
      <c r="B3005" s="18" t="s">
        <v>18</v>
      </c>
      <c r="C3005" s="19">
        <f>41258+(3*365)</f>
        <v>42353</v>
      </c>
      <c r="D3005" s="18" t="s">
        <v>71</v>
      </c>
      <c r="E3005" s="18" t="s">
        <v>72</v>
      </c>
      <c r="F3005" s="21">
        <v>750</v>
      </c>
    </row>
  </sheetData>
  <pageMargins left="0.7" right="0.7" top="0.78740157499999996" bottom="0.78740157499999996" header="0.3" footer="0.3"/>
  <pageSetup paperSize="9" orientation="portrait" horizontalDpi="4294967295" verticalDpi="4294967295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G605"/>
  <sheetViews>
    <sheetView showGridLines="0" zoomScaleNormal="100" workbookViewId="0"/>
  </sheetViews>
  <sheetFormatPr baseColWidth="10" defaultRowHeight="15" x14ac:dyDescent="0.25"/>
  <cols>
    <col min="1" max="1" width="8.5703125" style="17" customWidth="1"/>
    <col min="2" max="2" width="12.7109375" style="17" customWidth="1"/>
    <col min="3" max="3" width="11.7109375" style="17" customWidth="1"/>
    <col min="4" max="4" width="15.7109375" style="17" customWidth="1"/>
    <col min="5" max="5" width="13.7109375" style="17" customWidth="1"/>
    <col min="6" max="6" width="16.7109375" style="17" customWidth="1"/>
    <col min="7" max="7" width="12.7109375" style="17" customWidth="1"/>
    <col min="8" max="8" width="19" style="17" bestFit="1" customWidth="1"/>
    <col min="9" max="16384" width="11.42578125" style="17"/>
  </cols>
  <sheetData>
    <row r="1" spans="1:7" ht="45" customHeight="1" x14ac:dyDescent="0.7">
      <c r="A1" s="4"/>
      <c r="B1" s="14" t="s">
        <v>35</v>
      </c>
    </row>
    <row r="2" spans="1:7" x14ac:dyDescent="0.25">
      <c r="B2" s="17" t="s">
        <v>42</v>
      </c>
    </row>
    <row r="5" spans="1:7" x14ac:dyDescent="0.25">
      <c r="B5" s="19" t="s">
        <v>7</v>
      </c>
      <c r="C5" s="18" t="s">
        <v>14</v>
      </c>
      <c r="D5" s="18" t="s">
        <v>12</v>
      </c>
      <c r="E5" s="18" t="s">
        <v>15</v>
      </c>
      <c r="F5" s="18" t="s">
        <v>16</v>
      </c>
      <c r="G5" s="18" t="s">
        <v>17</v>
      </c>
    </row>
    <row r="6" spans="1:7" x14ac:dyDescent="0.25">
      <c r="B6" s="19">
        <v>41442</v>
      </c>
      <c r="C6" s="20">
        <v>2</v>
      </c>
      <c r="D6" s="18" t="s">
        <v>11</v>
      </c>
      <c r="E6" s="18" t="s">
        <v>23</v>
      </c>
      <c r="F6" s="18" t="s">
        <v>27</v>
      </c>
      <c r="G6" s="21">
        <v>378.45</v>
      </c>
    </row>
    <row r="7" spans="1:7" x14ac:dyDescent="0.25">
      <c r="B7" s="19">
        <v>41786</v>
      </c>
      <c r="C7" s="20">
        <v>2</v>
      </c>
      <c r="D7" s="18" t="s">
        <v>25</v>
      </c>
      <c r="E7" s="18" t="s">
        <v>26</v>
      </c>
      <c r="F7" s="18" t="s">
        <v>24</v>
      </c>
      <c r="G7" s="21">
        <v>1810.38</v>
      </c>
    </row>
    <row r="8" spans="1:7" x14ac:dyDescent="0.25">
      <c r="B8" s="19">
        <v>41537</v>
      </c>
      <c r="C8" s="20">
        <v>3</v>
      </c>
      <c r="D8" s="18" t="s">
        <v>31</v>
      </c>
      <c r="E8" s="18" t="s">
        <v>28</v>
      </c>
      <c r="F8" s="18" t="s">
        <v>32</v>
      </c>
      <c r="G8" s="21">
        <v>1153.96</v>
      </c>
    </row>
    <row r="9" spans="1:7" x14ac:dyDescent="0.25">
      <c r="B9" s="19">
        <v>41317</v>
      </c>
      <c r="C9" s="20">
        <v>1</v>
      </c>
      <c r="D9" s="18" t="s">
        <v>25</v>
      </c>
      <c r="E9" s="18" t="s">
        <v>26</v>
      </c>
      <c r="F9" s="18" t="s">
        <v>30</v>
      </c>
      <c r="G9" s="21">
        <v>2083.9299999999998</v>
      </c>
    </row>
    <row r="10" spans="1:7" x14ac:dyDescent="0.25">
      <c r="B10" s="19">
        <v>41558</v>
      </c>
      <c r="C10" s="20">
        <v>4</v>
      </c>
      <c r="D10" s="18" t="s">
        <v>25</v>
      </c>
      <c r="E10" s="18" t="s">
        <v>26</v>
      </c>
      <c r="F10" s="18" t="s">
        <v>20</v>
      </c>
      <c r="G10" s="21">
        <v>627</v>
      </c>
    </row>
    <row r="11" spans="1:7" x14ac:dyDescent="0.25">
      <c r="B11" s="19">
        <v>41809</v>
      </c>
      <c r="C11" s="20">
        <v>2</v>
      </c>
      <c r="D11" s="18" t="s">
        <v>9</v>
      </c>
      <c r="E11" s="18" t="s">
        <v>26</v>
      </c>
      <c r="F11" s="18" t="s">
        <v>24</v>
      </c>
      <c r="G11" s="21">
        <v>442.77</v>
      </c>
    </row>
    <row r="12" spans="1:7" x14ac:dyDescent="0.25">
      <c r="B12" s="19">
        <v>42002</v>
      </c>
      <c r="C12" s="20">
        <v>4</v>
      </c>
      <c r="D12" s="18" t="s">
        <v>18</v>
      </c>
      <c r="E12" s="18" t="s">
        <v>19</v>
      </c>
      <c r="F12" s="18" t="s">
        <v>24</v>
      </c>
      <c r="G12" s="21">
        <v>1459.65</v>
      </c>
    </row>
    <row r="13" spans="1:7" x14ac:dyDescent="0.25">
      <c r="B13" s="19">
        <v>41438</v>
      </c>
      <c r="C13" s="20">
        <v>2</v>
      </c>
      <c r="D13" s="18" t="s">
        <v>25</v>
      </c>
      <c r="E13" s="18" t="s">
        <v>26</v>
      </c>
      <c r="F13" s="18" t="s">
        <v>24</v>
      </c>
      <c r="G13" s="21">
        <v>1073.18</v>
      </c>
    </row>
    <row r="14" spans="1:7" x14ac:dyDescent="0.25">
      <c r="B14" s="19">
        <v>41982</v>
      </c>
      <c r="C14" s="20">
        <v>4</v>
      </c>
      <c r="D14" s="18" t="s">
        <v>31</v>
      </c>
      <c r="E14" s="18" t="s">
        <v>28</v>
      </c>
      <c r="F14" s="18" t="s">
        <v>20</v>
      </c>
      <c r="G14" s="21">
        <v>706.03</v>
      </c>
    </row>
    <row r="15" spans="1:7" x14ac:dyDescent="0.25">
      <c r="B15" s="19">
        <v>41815</v>
      </c>
      <c r="C15" s="20">
        <v>2</v>
      </c>
      <c r="D15" s="18" t="s">
        <v>31</v>
      </c>
      <c r="E15" s="18" t="s">
        <v>28</v>
      </c>
      <c r="F15" s="18" t="s">
        <v>30</v>
      </c>
      <c r="G15" s="21">
        <v>1519.22</v>
      </c>
    </row>
    <row r="16" spans="1:7" x14ac:dyDescent="0.25">
      <c r="B16" s="19">
        <v>42001</v>
      </c>
      <c r="C16" s="20">
        <v>4</v>
      </c>
      <c r="D16" s="18" t="s">
        <v>10</v>
      </c>
      <c r="E16" s="18" t="s">
        <v>28</v>
      </c>
      <c r="F16" s="18" t="s">
        <v>27</v>
      </c>
      <c r="G16" s="21">
        <v>1217.73</v>
      </c>
    </row>
    <row r="17" spans="2:7" x14ac:dyDescent="0.25">
      <c r="B17" s="19">
        <v>41545</v>
      </c>
      <c r="C17" s="20">
        <v>3</v>
      </c>
      <c r="D17" s="18" t="s">
        <v>21</v>
      </c>
      <c r="E17" s="18" t="s">
        <v>19</v>
      </c>
      <c r="F17" s="18" t="s">
        <v>30</v>
      </c>
      <c r="G17" s="21">
        <v>2242.6</v>
      </c>
    </row>
    <row r="18" spans="2:7" x14ac:dyDescent="0.25">
      <c r="B18" s="19">
        <v>41718</v>
      </c>
      <c r="C18" s="20">
        <v>1</v>
      </c>
      <c r="D18" s="18" t="s">
        <v>21</v>
      </c>
      <c r="E18" s="18" t="s">
        <v>19</v>
      </c>
      <c r="F18" s="18" t="s">
        <v>27</v>
      </c>
      <c r="G18" s="21">
        <v>834.45</v>
      </c>
    </row>
    <row r="19" spans="2:7" x14ac:dyDescent="0.25">
      <c r="B19" s="19">
        <v>41801</v>
      </c>
      <c r="C19" s="20">
        <v>2</v>
      </c>
      <c r="D19" s="18" t="s">
        <v>10</v>
      </c>
      <c r="E19" s="18" t="s">
        <v>28</v>
      </c>
      <c r="F19" s="18" t="s">
        <v>22</v>
      </c>
      <c r="G19" s="21">
        <v>227.27</v>
      </c>
    </row>
    <row r="20" spans="2:7" x14ac:dyDescent="0.25">
      <c r="B20" s="19">
        <v>41971</v>
      </c>
      <c r="C20" s="20">
        <v>4</v>
      </c>
      <c r="D20" s="18" t="s">
        <v>21</v>
      </c>
      <c r="E20" s="18" t="s">
        <v>19</v>
      </c>
      <c r="F20" s="18" t="s">
        <v>24</v>
      </c>
      <c r="G20" s="21">
        <v>1625.66</v>
      </c>
    </row>
    <row r="21" spans="2:7" x14ac:dyDescent="0.25">
      <c r="B21" s="19">
        <v>41620</v>
      </c>
      <c r="C21" s="20">
        <v>4</v>
      </c>
      <c r="D21" s="18" t="s">
        <v>18</v>
      </c>
      <c r="E21" s="18" t="s">
        <v>19</v>
      </c>
      <c r="F21" s="18" t="s">
        <v>29</v>
      </c>
      <c r="G21" s="21">
        <v>1443.02</v>
      </c>
    </row>
    <row r="22" spans="2:7" x14ac:dyDescent="0.25">
      <c r="B22" s="19">
        <v>41787</v>
      </c>
      <c r="C22" s="20">
        <v>2</v>
      </c>
      <c r="D22" s="18" t="s">
        <v>31</v>
      </c>
      <c r="E22" s="18" t="s">
        <v>28</v>
      </c>
      <c r="F22" s="18" t="s">
        <v>27</v>
      </c>
      <c r="G22" s="21">
        <v>644.6</v>
      </c>
    </row>
    <row r="23" spans="2:7" x14ac:dyDescent="0.25">
      <c r="B23" s="19">
        <v>41823</v>
      </c>
      <c r="C23" s="20">
        <v>3</v>
      </c>
      <c r="D23" s="18" t="s">
        <v>31</v>
      </c>
      <c r="E23" s="18" t="s">
        <v>28</v>
      </c>
      <c r="F23" s="18" t="s">
        <v>24</v>
      </c>
      <c r="G23" s="21">
        <v>886.38</v>
      </c>
    </row>
    <row r="24" spans="2:7" x14ac:dyDescent="0.25">
      <c r="B24" s="19">
        <v>41746</v>
      </c>
      <c r="C24" s="20">
        <v>2</v>
      </c>
      <c r="D24" s="18" t="s">
        <v>8</v>
      </c>
      <c r="E24" s="18" t="s">
        <v>23</v>
      </c>
      <c r="F24" s="18" t="s">
        <v>27</v>
      </c>
      <c r="G24" s="21">
        <v>228.24</v>
      </c>
    </row>
    <row r="25" spans="2:7" x14ac:dyDescent="0.25">
      <c r="B25" s="19">
        <v>41906</v>
      </c>
      <c r="C25" s="20">
        <v>3</v>
      </c>
      <c r="D25" s="18" t="s">
        <v>9</v>
      </c>
      <c r="E25" s="18" t="s">
        <v>26</v>
      </c>
      <c r="F25" s="18" t="s">
        <v>24</v>
      </c>
      <c r="G25" s="21">
        <v>741.85</v>
      </c>
    </row>
    <row r="26" spans="2:7" x14ac:dyDescent="0.25">
      <c r="B26" s="19">
        <v>41728</v>
      </c>
      <c r="C26" s="20">
        <v>1</v>
      </c>
      <c r="D26" s="18" t="s">
        <v>18</v>
      </c>
      <c r="E26" s="18" t="s">
        <v>19</v>
      </c>
      <c r="F26" s="18" t="s">
        <v>33</v>
      </c>
      <c r="G26" s="21">
        <v>2201.5100000000002</v>
      </c>
    </row>
    <row r="27" spans="2:7" x14ac:dyDescent="0.25">
      <c r="B27" s="19">
        <v>41632</v>
      </c>
      <c r="C27" s="20">
        <v>4</v>
      </c>
      <c r="D27" s="18" t="s">
        <v>25</v>
      </c>
      <c r="E27" s="18" t="s">
        <v>26</v>
      </c>
      <c r="F27" s="18" t="s">
        <v>27</v>
      </c>
      <c r="G27" s="21">
        <v>1946.35</v>
      </c>
    </row>
    <row r="28" spans="2:7" x14ac:dyDescent="0.25">
      <c r="B28" s="19">
        <v>41884</v>
      </c>
      <c r="C28" s="20">
        <v>3</v>
      </c>
      <c r="D28" s="18" t="s">
        <v>8</v>
      </c>
      <c r="E28" s="18" t="s">
        <v>23</v>
      </c>
      <c r="F28" s="18" t="s">
        <v>32</v>
      </c>
      <c r="G28" s="21">
        <v>1450.11</v>
      </c>
    </row>
    <row r="29" spans="2:7" x14ac:dyDescent="0.25">
      <c r="B29" s="19">
        <v>41608</v>
      </c>
      <c r="C29" s="20">
        <v>4</v>
      </c>
      <c r="D29" s="18" t="s">
        <v>9</v>
      </c>
      <c r="E29" s="18" t="s">
        <v>26</v>
      </c>
      <c r="F29" s="18" t="s">
        <v>29</v>
      </c>
      <c r="G29" s="21">
        <v>2302.2399999999998</v>
      </c>
    </row>
    <row r="30" spans="2:7" x14ac:dyDescent="0.25">
      <c r="B30" s="19">
        <v>41488</v>
      </c>
      <c r="C30" s="20">
        <v>3</v>
      </c>
      <c r="D30" s="18" t="s">
        <v>18</v>
      </c>
      <c r="E30" s="18" t="s">
        <v>19</v>
      </c>
      <c r="F30" s="18" t="s">
        <v>22</v>
      </c>
      <c r="G30" s="21">
        <v>642.42999999999995</v>
      </c>
    </row>
    <row r="31" spans="2:7" x14ac:dyDescent="0.25">
      <c r="B31" s="19">
        <v>41691</v>
      </c>
      <c r="C31" s="20">
        <v>1</v>
      </c>
      <c r="D31" s="18" t="s">
        <v>18</v>
      </c>
      <c r="E31" s="18" t="s">
        <v>19</v>
      </c>
      <c r="F31" s="18" t="s">
        <v>24</v>
      </c>
      <c r="G31" s="21">
        <v>952.24</v>
      </c>
    </row>
    <row r="32" spans="2:7" x14ac:dyDescent="0.25">
      <c r="B32" s="19">
        <v>41988</v>
      </c>
      <c r="C32" s="20">
        <v>4</v>
      </c>
      <c r="D32" s="18" t="s">
        <v>31</v>
      </c>
      <c r="E32" s="18" t="s">
        <v>28</v>
      </c>
      <c r="F32" s="18" t="s">
        <v>27</v>
      </c>
      <c r="G32" s="21">
        <v>1591.12</v>
      </c>
    </row>
    <row r="33" spans="2:7" x14ac:dyDescent="0.25">
      <c r="B33" s="19">
        <v>41525</v>
      </c>
      <c r="C33" s="20">
        <v>3</v>
      </c>
      <c r="D33" s="18" t="s">
        <v>25</v>
      </c>
      <c r="E33" s="18" t="s">
        <v>26</v>
      </c>
      <c r="F33" s="18" t="s">
        <v>32</v>
      </c>
      <c r="G33" s="21">
        <v>218.06</v>
      </c>
    </row>
    <row r="34" spans="2:7" x14ac:dyDescent="0.25">
      <c r="B34" s="19">
        <v>41875</v>
      </c>
      <c r="C34" s="20">
        <v>3</v>
      </c>
      <c r="D34" s="18" t="s">
        <v>9</v>
      </c>
      <c r="E34" s="18" t="s">
        <v>26</v>
      </c>
      <c r="F34" s="18" t="s">
        <v>32</v>
      </c>
      <c r="G34" s="21">
        <v>347.19</v>
      </c>
    </row>
    <row r="35" spans="2:7" x14ac:dyDescent="0.25">
      <c r="B35" s="19">
        <v>41466</v>
      </c>
      <c r="C35" s="20">
        <v>3</v>
      </c>
      <c r="D35" s="18" t="s">
        <v>25</v>
      </c>
      <c r="E35" s="18" t="s">
        <v>26</v>
      </c>
      <c r="F35" s="18" t="s">
        <v>30</v>
      </c>
      <c r="G35" s="21">
        <v>1867</v>
      </c>
    </row>
    <row r="36" spans="2:7" x14ac:dyDescent="0.25">
      <c r="B36" s="19">
        <v>41443</v>
      </c>
      <c r="C36" s="20">
        <v>2</v>
      </c>
      <c r="D36" s="18" t="s">
        <v>25</v>
      </c>
      <c r="E36" s="18" t="s">
        <v>26</v>
      </c>
      <c r="F36" s="18" t="s">
        <v>20</v>
      </c>
      <c r="G36" s="21">
        <v>119.97</v>
      </c>
    </row>
    <row r="37" spans="2:7" x14ac:dyDescent="0.25">
      <c r="B37" s="19">
        <v>41913</v>
      </c>
      <c r="C37" s="20">
        <v>4</v>
      </c>
      <c r="D37" s="18" t="s">
        <v>9</v>
      </c>
      <c r="E37" s="18" t="s">
        <v>26</v>
      </c>
      <c r="F37" s="18" t="s">
        <v>29</v>
      </c>
      <c r="G37" s="21">
        <v>319.12</v>
      </c>
    </row>
    <row r="38" spans="2:7" x14ac:dyDescent="0.25">
      <c r="B38" s="19">
        <v>41951</v>
      </c>
      <c r="C38" s="20">
        <v>4</v>
      </c>
      <c r="D38" s="18" t="s">
        <v>8</v>
      </c>
      <c r="E38" s="18" t="s">
        <v>23</v>
      </c>
      <c r="F38" s="18" t="s">
        <v>27</v>
      </c>
      <c r="G38" s="21">
        <v>1301.71</v>
      </c>
    </row>
    <row r="39" spans="2:7" x14ac:dyDescent="0.25">
      <c r="B39" s="19">
        <v>41941</v>
      </c>
      <c r="C39" s="20">
        <v>4</v>
      </c>
      <c r="D39" s="18" t="s">
        <v>31</v>
      </c>
      <c r="E39" s="18" t="s">
        <v>28</v>
      </c>
      <c r="F39" s="18" t="s">
        <v>20</v>
      </c>
      <c r="G39" s="21">
        <v>229.14</v>
      </c>
    </row>
    <row r="40" spans="2:7" x14ac:dyDescent="0.25">
      <c r="B40" s="19">
        <v>41909</v>
      </c>
      <c r="C40" s="20">
        <v>3</v>
      </c>
      <c r="D40" s="18" t="s">
        <v>11</v>
      </c>
      <c r="E40" s="18" t="s">
        <v>23</v>
      </c>
      <c r="F40" s="18" t="s">
        <v>22</v>
      </c>
      <c r="G40" s="21">
        <v>389.25</v>
      </c>
    </row>
    <row r="41" spans="2:7" x14ac:dyDescent="0.25">
      <c r="B41" s="19">
        <v>41551</v>
      </c>
      <c r="C41" s="20">
        <v>4</v>
      </c>
      <c r="D41" s="18" t="s">
        <v>10</v>
      </c>
      <c r="E41" s="18" t="s">
        <v>28</v>
      </c>
      <c r="F41" s="18" t="s">
        <v>30</v>
      </c>
      <c r="G41" s="21">
        <v>1577.18</v>
      </c>
    </row>
    <row r="42" spans="2:7" x14ac:dyDescent="0.25">
      <c r="B42" s="19">
        <v>41341</v>
      </c>
      <c r="C42" s="20">
        <v>1</v>
      </c>
      <c r="D42" s="18" t="s">
        <v>18</v>
      </c>
      <c r="E42" s="18" t="s">
        <v>19</v>
      </c>
      <c r="F42" s="18" t="s">
        <v>29</v>
      </c>
      <c r="G42" s="21">
        <v>3028.88</v>
      </c>
    </row>
    <row r="43" spans="2:7" x14ac:dyDescent="0.25">
      <c r="B43" s="19">
        <v>41902</v>
      </c>
      <c r="C43" s="20">
        <v>3</v>
      </c>
      <c r="D43" s="18" t="s">
        <v>10</v>
      </c>
      <c r="E43" s="18" t="s">
        <v>28</v>
      </c>
      <c r="F43" s="18" t="s">
        <v>33</v>
      </c>
      <c r="G43" s="21">
        <v>2532.62</v>
      </c>
    </row>
    <row r="44" spans="2:7" x14ac:dyDescent="0.25">
      <c r="B44" s="19">
        <v>41363</v>
      </c>
      <c r="C44" s="20">
        <v>1</v>
      </c>
      <c r="D44" s="18" t="s">
        <v>25</v>
      </c>
      <c r="E44" s="18" t="s">
        <v>26</v>
      </c>
      <c r="F44" s="18" t="s">
        <v>20</v>
      </c>
      <c r="G44" s="21">
        <v>130.04</v>
      </c>
    </row>
    <row r="45" spans="2:7" x14ac:dyDescent="0.25">
      <c r="B45" s="19">
        <v>41387</v>
      </c>
      <c r="C45" s="20">
        <v>2</v>
      </c>
      <c r="D45" s="18" t="s">
        <v>31</v>
      </c>
      <c r="E45" s="18" t="s">
        <v>28</v>
      </c>
      <c r="F45" s="18" t="s">
        <v>30</v>
      </c>
      <c r="G45" s="21">
        <v>246.57</v>
      </c>
    </row>
    <row r="46" spans="2:7" x14ac:dyDescent="0.25">
      <c r="B46" s="19">
        <v>41783</v>
      </c>
      <c r="C46" s="20">
        <v>2</v>
      </c>
      <c r="D46" s="18" t="s">
        <v>25</v>
      </c>
      <c r="E46" s="18" t="s">
        <v>26</v>
      </c>
      <c r="F46" s="18" t="s">
        <v>30</v>
      </c>
      <c r="G46" s="21">
        <v>2850.7</v>
      </c>
    </row>
    <row r="47" spans="2:7" x14ac:dyDescent="0.25">
      <c r="B47" s="19">
        <v>41983</v>
      </c>
      <c r="C47" s="20">
        <v>4</v>
      </c>
      <c r="D47" s="18" t="s">
        <v>9</v>
      </c>
      <c r="E47" s="18" t="s">
        <v>26</v>
      </c>
      <c r="F47" s="18" t="s">
        <v>22</v>
      </c>
      <c r="G47" s="21">
        <v>615.6</v>
      </c>
    </row>
    <row r="48" spans="2:7" x14ac:dyDescent="0.25">
      <c r="B48" s="19">
        <v>41681</v>
      </c>
      <c r="C48" s="20">
        <v>1</v>
      </c>
      <c r="D48" s="18" t="s">
        <v>9</v>
      </c>
      <c r="E48" s="18" t="s">
        <v>26</v>
      </c>
      <c r="F48" s="18" t="s">
        <v>30</v>
      </c>
      <c r="G48" s="21">
        <v>2396.1799999999998</v>
      </c>
    </row>
    <row r="49" spans="2:7" x14ac:dyDescent="0.25">
      <c r="B49" s="19">
        <v>41816</v>
      </c>
      <c r="C49" s="20">
        <v>2</v>
      </c>
      <c r="D49" s="18" t="s">
        <v>10</v>
      </c>
      <c r="E49" s="18" t="s">
        <v>28</v>
      </c>
      <c r="F49" s="18" t="s">
        <v>30</v>
      </c>
      <c r="G49" s="21">
        <v>2408.0500000000002</v>
      </c>
    </row>
    <row r="50" spans="2:7" x14ac:dyDescent="0.25">
      <c r="B50" s="19">
        <v>41851</v>
      </c>
      <c r="C50" s="20">
        <v>3</v>
      </c>
      <c r="D50" s="18" t="s">
        <v>31</v>
      </c>
      <c r="E50" s="18" t="s">
        <v>28</v>
      </c>
      <c r="F50" s="18" t="s">
        <v>27</v>
      </c>
      <c r="G50" s="21">
        <v>1084.23</v>
      </c>
    </row>
    <row r="51" spans="2:7" x14ac:dyDescent="0.25">
      <c r="B51" s="19">
        <v>41558</v>
      </c>
      <c r="C51" s="20">
        <v>4</v>
      </c>
      <c r="D51" s="18" t="s">
        <v>21</v>
      </c>
      <c r="E51" s="18" t="s">
        <v>19</v>
      </c>
      <c r="F51" s="18" t="s">
        <v>30</v>
      </c>
      <c r="G51" s="21">
        <v>1504.43</v>
      </c>
    </row>
    <row r="52" spans="2:7" x14ac:dyDescent="0.25">
      <c r="B52" s="19">
        <v>41993</v>
      </c>
      <c r="C52" s="20">
        <v>4</v>
      </c>
      <c r="D52" s="18" t="s">
        <v>11</v>
      </c>
      <c r="E52" s="18" t="s">
        <v>23</v>
      </c>
      <c r="F52" s="18" t="s">
        <v>30</v>
      </c>
      <c r="G52" s="21">
        <v>1644.89</v>
      </c>
    </row>
    <row r="53" spans="2:7" x14ac:dyDescent="0.25">
      <c r="B53" s="19">
        <v>41555</v>
      </c>
      <c r="C53" s="20">
        <v>4</v>
      </c>
      <c r="D53" s="18" t="s">
        <v>9</v>
      </c>
      <c r="E53" s="18" t="s">
        <v>26</v>
      </c>
      <c r="F53" s="18" t="s">
        <v>30</v>
      </c>
      <c r="G53" s="21">
        <v>2209.9</v>
      </c>
    </row>
    <row r="54" spans="2:7" x14ac:dyDescent="0.25">
      <c r="B54" s="19">
        <v>41932</v>
      </c>
      <c r="C54" s="20">
        <v>4</v>
      </c>
      <c r="D54" s="18" t="s">
        <v>31</v>
      </c>
      <c r="E54" s="18" t="s">
        <v>28</v>
      </c>
      <c r="F54" s="18" t="s">
        <v>32</v>
      </c>
      <c r="G54" s="21">
        <v>817.91</v>
      </c>
    </row>
    <row r="55" spans="2:7" x14ac:dyDescent="0.25">
      <c r="B55" s="19">
        <v>41501</v>
      </c>
      <c r="C55" s="20">
        <v>3</v>
      </c>
      <c r="D55" s="18" t="s">
        <v>11</v>
      </c>
      <c r="E55" s="18" t="s">
        <v>23</v>
      </c>
      <c r="F55" s="18" t="s">
        <v>32</v>
      </c>
      <c r="G55" s="21">
        <v>572.27</v>
      </c>
    </row>
    <row r="56" spans="2:7" x14ac:dyDescent="0.25">
      <c r="B56" s="19">
        <v>41704</v>
      </c>
      <c r="C56" s="20">
        <v>1</v>
      </c>
      <c r="D56" s="18" t="s">
        <v>21</v>
      </c>
      <c r="E56" s="18" t="s">
        <v>19</v>
      </c>
      <c r="F56" s="18" t="s">
        <v>30</v>
      </c>
      <c r="G56" s="21">
        <v>1003.37</v>
      </c>
    </row>
    <row r="57" spans="2:7" x14ac:dyDescent="0.25">
      <c r="B57" s="19">
        <v>41753</v>
      </c>
      <c r="C57" s="20">
        <v>2</v>
      </c>
      <c r="D57" s="18" t="s">
        <v>18</v>
      </c>
      <c r="E57" s="18" t="s">
        <v>19</v>
      </c>
      <c r="F57" s="18" t="s">
        <v>29</v>
      </c>
      <c r="G57" s="21">
        <v>3792.66</v>
      </c>
    </row>
    <row r="58" spans="2:7" x14ac:dyDescent="0.25">
      <c r="B58" s="19">
        <v>41422</v>
      </c>
      <c r="C58" s="20">
        <v>2</v>
      </c>
      <c r="D58" s="18" t="s">
        <v>8</v>
      </c>
      <c r="E58" s="18" t="s">
        <v>23</v>
      </c>
      <c r="F58" s="18" t="s">
        <v>30</v>
      </c>
      <c r="G58" s="21">
        <v>2233.02</v>
      </c>
    </row>
    <row r="59" spans="2:7" x14ac:dyDescent="0.25">
      <c r="B59" s="19">
        <v>41531</v>
      </c>
      <c r="C59" s="20">
        <v>3</v>
      </c>
      <c r="D59" s="18" t="s">
        <v>21</v>
      </c>
      <c r="E59" s="18" t="s">
        <v>19</v>
      </c>
      <c r="F59" s="18" t="s">
        <v>20</v>
      </c>
      <c r="G59" s="21">
        <v>439.26</v>
      </c>
    </row>
    <row r="60" spans="2:7" x14ac:dyDescent="0.25">
      <c r="B60" s="19">
        <v>41678</v>
      </c>
      <c r="C60" s="20">
        <v>1</v>
      </c>
      <c r="D60" s="18" t="s">
        <v>25</v>
      </c>
      <c r="E60" s="18" t="s">
        <v>26</v>
      </c>
      <c r="F60" s="18" t="s">
        <v>30</v>
      </c>
      <c r="G60" s="21">
        <v>1676.77</v>
      </c>
    </row>
    <row r="61" spans="2:7" x14ac:dyDescent="0.25">
      <c r="B61" s="19">
        <v>41802</v>
      </c>
      <c r="C61" s="20">
        <v>2</v>
      </c>
      <c r="D61" s="18" t="s">
        <v>21</v>
      </c>
      <c r="E61" s="18" t="s">
        <v>19</v>
      </c>
      <c r="F61" s="18" t="s">
        <v>32</v>
      </c>
      <c r="G61" s="21">
        <v>911.51</v>
      </c>
    </row>
    <row r="62" spans="2:7" x14ac:dyDescent="0.25">
      <c r="B62" s="19">
        <v>41448</v>
      </c>
      <c r="C62" s="20">
        <v>2</v>
      </c>
      <c r="D62" s="18" t="s">
        <v>11</v>
      </c>
      <c r="E62" s="18" t="s">
        <v>23</v>
      </c>
      <c r="F62" s="18" t="s">
        <v>30</v>
      </c>
      <c r="G62" s="21">
        <v>2381.4899999999998</v>
      </c>
    </row>
    <row r="63" spans="2:7" x14ac:dyDescent="0.25">
      <c r="B63" s="19">
        <v>41392</v>
      </c>
      <c r="C63" s="20">
        <v>2</v>
      </c>
      <c r="D63" s="18" t="s">
        <v>31</v>
      </c>
      <c r="E63" s="18" t="s">
        <v>28</v>
      </c>
      <c r="F63" s="18" t="s">
        <v>27</v>
      </c>
      <c r="G63" s="21">
        <v>449.38</v>
      </c>
    </row>
    <row r="64" spans="2:7" x14ac:dyDescent="0.25">
      <c r="B64" s="19">
        <v>41454</v>
      </c>
      <c r="C64" s="20">
        <v>2</v>
      </c>
      <c r="D64" s="18" t="s">
        <v>8</v>
      </c>
      <c r="E64" s="18" t="s">
        <v>23</v>
      </c>
      <c r="F64" s="18" t="s">
        <v>29</v>
      </c>
      <c r="G64" s="21">
        <v>3206.5</v>
      </c>
    </row>
    <row r="65" spans="2:7" x14ac:dyDescent="0.25">
      <c r="B65" s="19">
        <v>41922</v>
      </c>
      <c r="C65" s="20">
        <v>4</v>
      </c>
      <c r="D65" s="18" t="s">
        <v>25</v>
      </c>
      <c r="E65" s="18" t="s">
        <v>26</v>
      </c>
      <c r="F65" s="18" t="s">
        <v>30</v>
      </c>
      <c r="G65" s="21">
        <v>1693.69</v>
      </c>
    </row>
    <row r="66" spans="2:7" x14ac:dyDescent="0.25">
      <c r="B66" s="19">
        <v>41613</v>
      </c>
      <c r="C66" s="20">
        <v>4</v>
      </c>
      <c r="D66" s="18" t="s">
        <v>21</v>
      </c>
      <c r="E66" s="18" t="s">
        <v>19</v>
      </c>
      <c r="F66" s="18" t="s">
        <v>32</v>
      </c>
      <c r="G66" s="21">
        <v>1957.73</v>
      </c>
    </row>
    <row r="67" spans="2:7" x14ac:dyDescent="0.25">
      <c r="B67" s="19">
        <v>41618</v>
      </c>
      <c r="C67" s="20">
        <v>4</v>
      </c>
      <c r="D67" s="18" t="s">
        <v>8</v>
      </c>
      <c r="E67" s="18" t="s">
        <v>23</v>
      </c>
      <c r="F67" s="18" t="s">
        <v>24</v>
      </c>
      <c r="G67" s="21">
        <v>1290.67</v>
      </c>
    </row>
    <row r="68" spans="2:7" x14ac:dyDescent="0.25">
      <c r="B68" s="19">
        <v>41284</v>
      </c>
      <c r="C68" s="20">
        <v>1</v>
      </c>
      <c r="D68" s="18" t="s">
        <v>18</v>
      </c>
      <c r="E68" s="18" t="s">
        <v>19</v>
      </c>
      <c r="F68" s="18" t="s">
        <v>32</v>
      </c>
      <c r="G68" s="21">
        <v>1907</v>
      </c>
    </row>
    <row r="69" spans="2:7" x14ac:dyDescent="0.25">
      <c r="B69" s="19">
        <v>41342</v>
      </c>
      <c r="C69" s="20">
        <v>1</v>
      </c>
      <c r="D69" s="18" t="s">
        <v>21</v>
      </c>
      <c r="E69" s="18" t="s">
        <v>19</v>
      </c>
      <c r="F69" s="18" t="s">
        <v>30</v>
      </c>
      <c r="G69" s="21">
        <v>1158.8699999999999</v>
      </c>
    </row>
    <row r="70" spans="2:7" x14ac:dyDescent="0.25">
      <c r="B70" s="19">
        <v>41581</v>
      </c>
      <c r="C70" s="20">
        <v>4</v>
      </c>
      <c r="D70" s="18" t="s">
        <v>9</v>
      </c>
      <c r="E70" s="18" t="s">
        <v>26</v>
      </c>
      <c r="F70" s="18" t="s">
        <v>30</v>
      </c>
      <c r="G70" s="21">
        <v>2807.97</v>
      </c>
    </row>
    <row r="71" spans="2:7" x14ac:dyDescent="0.25">
      <c r="B71" s="19">
        <v>41277</v>
      </c>
      <c r="C71" s="20">
        <v>1</v>
      </c>
      <c r="D71" s="18" t="s">
        <v>11</v>
      </c>
      <c r="E71" s="18" t="s">
        <v>23</v>
      </c>
      <c r="F71" s="18" t="s">
        <v>29</v>
      </c>
      <c r="G71" s="21">
        <v>1073.46</v>
      </c>
    </row>
    <row r="72" spans="2:7" x14ac:dyDescent="0.25">
      <c r="B72" s="19">
        <v>41804</v>
      </c>
      <c r="C72" s="20">
        <v>2</v>
      </c>
      <c r="D72" s="18" t="s">
        <v>21</v>
      </c>
      <c r="E72" s="18" t="s">
        <v>19</v>
      </c>
      <c r="F72" s="18" t="s">
        <v>20</v>
      </c>
      <c r="G72" s="21">
        <v>622.66999999999996</v>
      </c>
    </row>
    <row r="73" spans="2:7" x14ac:dyDescent="0.25">
      <c r="B73" s="19">
        <v>41972</v>
      </c>
      <c r="C73" s="20">
        <v>4</v>
      </c>
      <c r="D73" s="18" t="s">
        <v>8</v>
      </c>
      <c r="E73" s="18" t="s">
        <v>23</v>
      </c>
      <c r="F73" s="18" t="s">
        <v>29</v>
      </c>
      <c r="G73" s="21">
        <v>2629.12</v>
      </c>
    </row>
    <row r="74" spans="2:7" x14ac:dyDescent="0.25">
      <c r="B74" s="19">
        <v>41853</v>
      </c>
      <c r="C74" s="20">
        <v>3</v>
      </c>
      <c r="D74" s="18" t="s">
        <v>18</v>
      </c>
      <c r="E74" s="18" t="s">
        <v>19</v>
      </c>
      <c r="F74" s="18" t="s">
        <v>33</v>
      </c>
      <c r="G74" s="21">
        <v>2731.82</v>
      </c>
    </row>
    <row r="75" spans="2:7" x14ac:dyDescent="0.25">
      <c r="B75" s="19">
        <v>41639</v>
      </c>
      <c r="C75" s="20">
        <v>4</v>
      </c>
      <c r="D75" s="18" t="s">
        <v>21</v>
      </c>
      <c r="E75" s="18" t="s">
        <v>19</v>
      </c>
      <c r="F75" s="18" t="s">
        <v>32</v>
      </c>
      <c r="G75" s="21">
        <v>1519.23</v>
      </c>
    </row>
    <row r="76" spans="2:7" x14ac:dyDescent="0.25">
      <c r="B76" s="19">
        <v>41586</v>
      </c>
      <c r="C76" s="20">
        <v>4</v>
      </c>
      <c r="D76" s="18" t="s">
        <v>25</v>
      </c>
      <c r="E76" s="18" t="s">
        <v>26</v>
      </c>
      <c r="F76" s="18" t="s">
        <v>27</v>
      </c>
      <c r="G76" s="21">
        <v>995.56</v>
      </c>
    </row>
    <row r="77" spans="2:7" x14ac:dyDescent="0.25">
      <c r="B77" s="19">
        <v>41793</v>
      </c>
      <c r="C77" s="20">
        <v>2</v>
      </c>
      <c r="D77" s="18" t="s">
        <v>31</v>
      </c>
      <c r="E77" s="18" t="s">
        <v>28</v>
      </c>
      <c r="F77" s="18" t="s">
        <v>24</v>
      </c>
      <c r="G77" s="21">
        <v>914.54</v>
      </c>
    </row>
    <row r="78" spans="2:7" x14ac:dyDescent="0.25">
      <c r="B78" s="19">
        <v>41826</v>
      </c>
      <c r="C78" s="20">
        <v>3</v>
      </c>
      <c r="D78" s="18" t="s">
        <v>10</v>
      </c>
      <c r="E78" s="18" t="s">
        <v>28</v>
      </c>
      <c r="F78" s="18" t="s">
        <v>27</v>
      </c>
      <c r="G78" s="21">
        <v>1951.9</v>
      </c>
    </row>
    <row r="79" spans="2:7" x14ac:dyDescent="0.25">
      <c r="B79" s="19">
        <v>41429</v>
      </c>
      <c r="C79" s="20">
        <v>2</v>
      </c>
      <c r="D79" s="18" t="s">
        <v>10</v>
      </c>
      <c r="E79" s="18" t="s">
        <v>28</v>
      </c>
      <c r="F79" s="18" t="s">
        <v>22</v>
      </c>
      <c r="G79" s="21">
        <v>806.53</v>
      </c>
    </row>
    <row r="80" spans="2:7" x14ac:dyDescent="0.25">
      <c r="B80" s="19">
        <v>41617</v>
      </c>
      <c r="C80" s="20">
        <v>4</v>
      </c>
      <c r="D80" s="18" t="s">
        <v>10</v>
      </c>
      <c r="E80" s="18" t="s">
        <v>28</v>
      </c>
      <c r="F80" s="18" t="s">
        <v>24</v>
      </c>
      <c r="G80" s="21">
        <v>1243.1500000000001</v>
      </c>
    </row>
    <row r="81" spans="2:7" x14ac:dyDescent="0.25">
      <c r="B81" s="19">
        <v>41826</v>
      </c>
      <c r="C81" s="20">
        <v>3</v>
      </c>
      <c r="D81" s="18" t="s">
        <v>8</v>
      </c>
      <c r="E81" s="18" t="s">
        <v>23</v>
      </c>
      <c r="F81" s="18" t="s">
        <v>22</v>
      </c>
      <c r="G81" s="21">
        <v>1781.22</v>
      </c>
    </row>
    <row r="82" spans="2:7" x14ac:dyDescent="0.25">
      <c r="B82" s="19">
        <v>41935</v>
      </c>
      <c r="C82" s="20">
        <v>4</v>
      </c>
      <c r="D82" s="18" t="s">
        <v>10</v>
      </c>
      <c r="E82" s="18" t="s">
        <v>28</v>
      </c>
      <c r="F82" s="18" t="s">
        <v>22</v>
      </c>
      <c r="G82" s="21">
        <v>1593.28</v>
      </c>
    </row>
    <row r="83" spans="2:7" x14ac:dyDescent="0.25">
      <c r="B83" s="19">
        <v>41291</v>
      </c>
      <c r="C83" s="20">
        <v>1</v>
      </c>
      <c r="D83" s="18" t="s">
        <v>31</v>
      </c>
      <c r="E83" s="18" t="s">
        <v>28</v>
      </c>
      <c r="F83" s="18" t="s">
        <v>33</v>
      </c>
      <c r="G83" s="21">
        <v>2526.54</v>
      </c>
    </row>
    <row r="84" spans="2:7" x14ac:dyDescent="0.25">
      <c r="B84" s="19">
        <v>41577</v>
      </c>
      <c r="C84" s="20">
        <v>4</v>
      </c>
      <c r="D84" s="18" t="s">
        <v>11</v>
      </c>
      <c r="E84" s="18" t="s">
        <v>23</v>
      </c>
      <c r="F84" s="18" t="s">
        <v>33</v>
      </c>
      <c r="G84" s="21">
        <v>818.46</v>
      </c>
    </row>
    <row r="85" spans="2:7" x14ac:dyDescent="0.25">
      <c r="B85" s="19">
        <v>41614</v>
      </c>
      <c r="C85" s="20">
        <v>4</v>
      </c>
      <c r="D85" s="18" t="s">
        <v>18</v>
      </c>
      <c r="E85" s="18" t="s">
        <v>19</v>
      </c>
      <c r="F85" s="18" t="s">
        <v>24</v>
      </c>
      <c r="G85" s="21">
        <v>1143.33</v>
      </c>
    </row>
    <row r="86" spans="2:7" x14ac:dyDescent="0.25">
      <c r="B86" s="19">
        <v>41708</v>
      </c>
      <c r="C86" s="20">
        <v>1</v>
      </c>
      <c r="D86" s="18" t="s">
        <v>31</v>
      </c>
      <c r="E86" s="18" t="s">
        <v>28</v>
      </c>
      <c r="F86" s="18" t="s">
        <v>29</v>
      </c>
      <c r="G86" s="21">
        <v>218.88</v>
      </c>
    </row>
    <row r="87" spans="2:7" x14ac:dyDescent="0.25">
      <c r="B87" s="19">
        <v>41629</v>
      </c>
      <c r="C87" s="20">
        <v>4</v>
      </c>
      <c r="D87" s="18" t="s">
        <v>25</v>
      </c>
      <c r="E87" s="18" t="s">
        <v>26</v>
      </c>
      <c r="F87" s="18" t="s">
        <v>33</v>
      </c>
      <c r="G87" s="21">
        <v>1999.73</v>
      </c>
    </row>
    <row r="88" spans="2:7" x14ac:dyDescent="0.25">
      <c r="B88" s="19">
        <v>41957</v>
      </c>
      <c r="C88" s="20">
        <v>4</v>
      </c>
      <c r="D88" s="18" t="s">
        <v>18</v>
      </c>
      <c r="E88" s="18" t="s">
        <v>19</v>
      </c>
      <c r="F88" s="18" t="s">
        <v>30</v>
      </c>
      <c r="G88" s="21">
        <v>2526.25</v>
      </c>
    </row>
    <row r="89" spans="2:7" x14ac:dyDescent="0.25">
      <c r="B89" s="19">
        <v>41341</v>
      </c>
      <c r="C89" s="20">
        <v>1</v>
      </c>
      <c r="D89" s="18" t="s">
        <v>18</v>
      </c>
      <c r="E89" s="18" t="s">
        <v>19</v>
      </c>
      <c r="F89" s="18" t="s">
        <v>32</v>
      </c>
      <c r="G89" s="21">
        <v>1720.81</v>
      </c>
    </row>
    <row r="90" spans="2:7" x14ac:dyDescent="0.25">
      <c r="B90" s="19">
        <v>41875</v>
      </c>
      <c r="C90" s="20">
        <v>3</v>
      </c>
      <c r="D90" s="18" t="s">
        <v>31</v>
      </c>
      <c r="E90" s="18" t="s">
        <v>28</v>
      </c>
      <c r="F90" s="18" t="s">
        <v>30</v>
      </c>
      <c r="G90" s="21">
        <v>1091.58</v>
      </c>
    </row>
    <row r="91" spans="2:7" x14ac:dyDescent="0.25">
      <c r="B91" s="19">
        <v>41400</v>
      </c>
      <c r="C91" s="20">
        <v>2</v>
      </c>
      <c r="D91" s="18" t="s">
        <v>10</v>
      </c>
      <c r="E91" s="18" t="s">
        <v>28</v>
      </c>
      <c r="F91" s="18" t="s">
        <v>22</v>
      </c>
      <c r="G91" s="21">
        <v>724.91</v>
      </c>
    </row>
    <row r="92" spans="2:7" x14ac:dyDescent="0.25">
      <c r="B92" s="19">
        <v>41295</v>
      </c>
      <c r="C92" s="20">
        <v>1</v>
      </c>
      <c r="D92" s="18" t="s">
        <v>31</v>
      </c>
      <c r="E92" s="18" t="s">
        <v>28</v>
      </c>
      <c r="F92" s="18" t="s">
        <v>32</v>
      </c>
      <c r="G92" s="21">
        <v>866.09</v>
      </c>
    </row>
    <row r="93" spans="2:7" x14ac:dyDescent="0.25">
      <c r="B93" s="19">
        <v>41473</v>
      </c>
      <c r="C93" s="20">
        <v>3</v>
      </c>
      <c r="D93" s="18" t="s">
        <v>31</v>
      </c>
      <c r="E93" s="18" t="s">
        <v>28</v>
      </c>
      <c r="F93" s="18" t="s">
        <v>33</v>
      </c>
      <c r="G93" s="21">
        <v>1722.87</v>
      </c>
    </row>
    <row r="94" spans="2:7" x14ac:dyDescent="0.25">
      <c r="B94" s="19">
        <v>41911</v>
      </c>
      <c r="C94" s="20">
        <v>3</v>
      </c>
      <c r="D94" s="18" t="s">
        <v>21</v>
      </c>
      <c r="E94" s="18" t="s">
        <v>19</v>
      </c>
      <c r="F94" s="18" t="s">
        <v>22</v>
      </c>
      <c r="G94" s="21">
        <v>1773.4</v>
      </c>
    </row>
    <row r="95" spans="2:7" x14ac:dyDescent="0.25">
      <c r="B95" s="19">
        <v>41321</v>
      </c>
      <c r="C95" s="20">
        <v>1</v>
      </c>
      <c r="D95" s="18" t="s">
        <v>8</v>
      </c>
      <c r="E95" s="18" t="s">
        <v>23</v>
      </c>
      <c r="F95" s="18" t="s">
        <v>20</v>
      </c>
      <c r="G95" s="21">
        <v>767.04</v>
      </c>
    </row>
    <row r="96" spans="2:7" x14ac:dyDescent="0.25">
      <c r="B96" s="19">
        <v>41650</v>
      </c>
      <c r="C96" s="20">
        <v>1</v>
      </c>
      <c r="D96" s="18" t="s">
        <v>8</v>
      </c>
      <c r="E96" s="18" t="s">
        <v>23</v>
      </c>
      <c r="F96" s="18" t="s">
        <v>29</v>
      </c>
      <c r="G96" s="21">
        <v>812.06</v>
      </c>
    </row>
    <row r="97" spans="2:7" x14ac:dyDescent="0.25">
      <c r="B97" s="19">
        <v>41418</v>
      </c>
      <c r="C97" s="20">
        <v>2</v>
      </c>
      <c r="D97" s="18" t="s">
        <v>10</v>
      </c>
      <c r="E97" s="18" t="s">
        <v>28</v>
      </c>
      <c r="F97" s="18" t="s">
        <v>20</v>
      </c>
      <c r="G97" s="21">
        <v>370</v>
      </c>
    </row>
    <row r="98" spans="2:7" x14ac:dyDescent="0.25">
      <c r="B98" s="19">
        <v>41651</v>
      </c>
      <c r="C98" s="20">
        <v>1</v>
      </c>
      <c r="D98" s="18" t="s">
        <v>10</v>
      </c>
      <c r="E98" s="18" t="s">
        <v>28</v>
      </c>
      <c r="F98" s="18" t="s">
        <v>32</v>
      </c>
      <c r="G98" s="21">
        <v>1905.4</v>
      </c>
    </row>
    <row r="99" spans="2:7" x14ac:dyDescent="0.25">
      <c r="B99" s="19">
        <v>41402</v>
      </c>
      <c r="C99" s="20">
        <v>2</v>
      </c>
      <c r="D99" s="18" t="s">
        <v>31</v>
      </c>
      <c r="E99" s="18" t="s">
        <v>28</v>
      </c>
      <c r="F99" s="18" t="s">
        <v>29</v>
      </c>
      <c r="G99" s="21">
        <v>377.44</v>
      </c>
    </row>
    <row r="100" spans="2:7" x14ac:dyDescent="0.25">
      <c r="B100" s="19">
        <v>41864</v>
      </c>
      <c r="C100" s="20">
        <v>3</v>
      </c>
      <c r="D100" s="18" t="s">
        <v>8</v>
      </c>
      <c r="E100" s="18" t="s">
        <v>23</v>
      </c>
      <c r="F100" s="18" t="s">
        <v>24</v>
      </c>
      <c r="G100" s="21">
        <v>1669.18</v>
      </c>
    </row>
    <row r="101" spans="2:7" x14ac:dyDescent="0.25">
      <c r="B101" s="19">
        <v>41906</v>
      </c>
      <c r="C101" s="20">
        <v>3</v>
      </c>
      <c r="D101" s="18" t="s">
        <v>18</v>
      </c>
      <c r="E101" s="18" t="s">
        <v>19</v>
      </c>
      <c r="F101" s="18" t="s">
        <v>22</v>
      </c>
      <c r="G101" s="21">
        <v>1868.6</v>
      </c>
    </row>
    <row r="102" spans="2:7" x14ac:dyDescent="0.25">
      <c r="B102" s="19">
        <v>41921</v>
      </c>
      <c r="C102" s="20">
        <v>4</v>
      </c>
      <c r="D102" s="18" t="s">
        <v>25</v>
      </c>
      <c r="E102" s="18" t="s">
        <v>26</v>
      </c>
      <c r="F102" s="18" t="s">
        <v>27</v>
      </c>
      <c r="G102" s="21">
        <v>1921.91</v>
      </c>
    </row>
    <row r="103" spans="2:7" x14ac:dyDescent="0.25">
      <c r="B103" s="19">
        <v>41742</v>
      </c>
      <c r="C103" s="20">
        <v>2</v>
      </c>
      <c r="D103" s="18" t="s">
        <v>21</v>
      </c>
      <c r="E103" s="18" t="s">
        <v>19</v>
      </c>
      <c r="F103" s="18" t="s">
        <v>30</v>
      </c>
      <c r="G103" s="21">
        <v>2120.23</v>
      </c>
    </row>
    <row r="104" spans="2:7" x14ac:dyDescent="0.25">
      <c r="B104" s="19">
        <v>41498</v>
      </c>
      <c r="C104" s="20">
        <v>3</v>
      </c>
      <c r="D104" s="18" t="s">
        <v>9</v>
      </c>
      <c r="E104" s="18" t="s">
        <v>26</v>
      </c>
      <c r="F104" s="18" t="s">
        <v>27</v>
      </c>
      <c r="G104" s="21">
        <v>584.02</v>
      </c>
    </row>
    <row r="105" spans="2:7" x14ac:dyDescent="0.25">
      <c r="B105" s="19">
        <v>41968</v>
      </c>
      <c r="C105" s="20">
        <v>4</v>
      </c>
      <c r="D105" s="18" t="s">
        <v>11</v>
      </c>
      <c r="E105" s="18" t="s">
        <v>23</v>
      </c>
      <c r="F105" s="18" t="s">
        <v>20</v>
      </c>
      <c r="G105" s="21">
        <v>778.02</v>
      </c>
    </row>
    <row r="106" spans="2:7" x14ac:dyDescent="0.25">
      <c r="B106" s="19">
        <v>41317</v>
      </c>
      <c r="C106" s="20">
        <v>1</v>
      </c>
      <c r="D106" s="18" t="s">
        <v>8</v>
      </c>
      <c r="E106" s="18" t="s">
        <v>23</v>
      </c>
      <c r="F106" s="18" t="s">
        <v>30</v>
      </c>
      <c r="G106" s="21">
        <v>1965.43</v>
      </c>
    </row>
    <row r="107" spans="2:7" x14ac:dyDescent="0.25">
      <c r="B107" s="19">
        <v>41847</v>
      </c>
      <c r="C107" s="20">
        <v>3</v>
      </c>
      <c r="D107" s="18" t="s">
        <v>9</v>
      </c>
      <c r="E107" s="18" t="s">
        <v>26</v>
      </c>
      <c r="F107" s="18" t="s">
        <v>29</v>
      </c>
      <c r="G107" s="21">
        <v>1354.8</v>
      </c>
    </row>
    <row r="108" spans="2:7" x14ac:dyDescent="0.25">
      <c r="B108" s="19">
        <v>41757</v>
      </c>
      <c r="C108" s="20">
        <v>2</v>
      </c>
      <c r="D108" s="18" t="s">
        <v>21</v>
      </c>
      <c r="E108" s="18" t="s">
        <v>19</v>
      </c>
      <c r="F108" s="18" t="s">
        <v>32</v>
      </c>
      <c r="G108" s="21">
        <v>439.05</v>
      </c>
    </row>
    <row r="109" spans="2:7" x14ac:dyDescent="0.25">
      <c r="B109" s="19">
        <v>41563</v>
      </c>
      <c r="C109" s="20">
        <v>4</v>
      </c>
      <c r="D109" s="18" t="s">
        <v>18</v>
      </c>
      <c r="E109" s="18" t="s">
        <v>19</v>
      </c>
      <c r="F109" s="18" t="s">
        <v>20</v>
      </c>
      <c r="G109" s="21">
        <v>434.17</v>
      </c>
    </row>
    <row r="110" spans="2:7" x14ac:dyDescent="0.25">
      <c r="B110" s="19">
        <v>41889</v>
      </c>
      <c r="C110" s="20">
        <v>3</v>
      </c>
      <c r="D110" s="18" t="s">
        <v>11</v>
      </c>
      <c r="E110" s="18" t="s">
        <v>23</v>
      </c>
      <c r="F110" s="18" t="s">
        <v>20</v>
      </c>
      <c r="G110" s="21">
        <v>205.61</v>
      </c>
    </row>
    <row r="111" spans="2:7" x14ac:dyDescent="0.25">
      <c r="B111" s="19">
        <v>41736</v>
      </c>
      <c r="C111" s="20">
        <v>2</v>
      </c>
      <c r="D111" s="18" t="s">
        <v>31</v>
      </c>
      <c r="E111" s="18" t="s">
        <v>28</v>
      </c>
      <c r="F111" s="18" t="s">
        <v>30</v>
      </c>
      <c r="G111" s="21">
        <v>1502.87</v>
      </c>
    </row>
    <row r="112" spans="2:7" x14ac:dyDescent="0.25">
      <c r="B112" s="19">
        <v>41786</v>
      </c>
      <c r="C112" s="20">
        <v>2</v>
      </c>
      <c r="D112" s="18" t="s">
        <v>21</v>
      </c>
      <c r="E112" s="18" t="s">
        <v>19</v>
      </c>
      <c r="F112" s="18" t="s">
        <v>30</v>
      </c>
      <c r="G112" s="21">
        <v>2132.06</v>
      </c>
    </row>
    <row r="113" spans="2:7" x14ac:dyDescent="0.25">
      <c r="B113" s="19">
        <v>41349</v>
      </c>
      <c r="C113" s="20">
        <v>1</v>
      </c>
      <c r="D113" s="18" t="s">
        <v>10</v>
      </c>
      <c r="E113" s="18" t="s">
        <v>28</v>
      </c>
      <c r="F113" s="18" t="s">
        <v>33</v>
      </c>
      <c r="G113" s="21">
        <v>2815.7</v>
      </c>
    </row>
    <row r="114" spans="2:7" x14ac:dyDescent="0.25">
      <c r="B114" s="19">
        <v>41773</v>
      </c>
      <c r="C114" s="20">
        <v>2</v>
      </c>
      <c r="D114" s="18" t="s">
        <v>11</v>
      </c>
      <c r="E114" s="18" t="s">
        <v>23</v>
      </c>
      <c r="F114" s="18" t="s">
        <v>20</v>
      </c>
      <c r="G114" s="21">
        <v>733.63</v>
      </c>
    </row>
    <row r="115" spans="2:7" x14ac:dyDescent="0.25">
      <c r="B115" s="19">
        <v>41821</v>
      </c>
      <c r="C115" s="20">
        <v>3</v>
      </c>
      <c r="D115" s="18" t="s">
        <v>8</v>
      </c>
      <c r="E115" s="18" t="s">
        <v>23</v>
      </c>
      <c r="F115" s="18" t="s">
        <v>32</v>
      </c>
      <c r="G115" s="21">
        <v>335.17</v>
      </c>
    </row>
    <row r="116" spans="2:7" x14ac:dyDescent="0.25">
      <c r="B116" s="19">
        <v>41785</v>
      </c>
      <c r="C116" s="20">
        <v>2</v>
      </c>
      <c r="D116" s="18" t="s">
        <v>9</v>
      </c>
      <c r="E116" s="18" t="s">
        <v>26</v>
      </c>
      <c r="F116" s="18" t="s">
        <v>29</v>
      </c>
      <c r="G116" s="21">
        <v>2037.02</v>
      </c>
    </row>
    <row r="117" spans="2:7" x14ac:dyDescent="0.25">
      <c r="B117" s="19">
        <v>41308</v>
      </c>
      <c r="C117" s="20">
        <v>1</v>
      </c>
      <c r="D117" s="18" t="s">
        <v>9</v>
      </c>
      <c r="E117" s="18" t="s">
        <v>26</v>
      </c>
      <c r="F117" s="18" t="s">
        <v>29</v>
      </c>
      <c r="G117" s="21">
        <v>692.4</v>
      </c>
    </row>
    <row r="118" spans="2:7" x14ac:dyDescent="0.25">
      <c r="B118" s="19">
        <v>41442</v>
      </c>
      <c r="C118" s="20">
        <v>2</v>
      </c>
      <c r="D118" s="18" t="s">
        <v>10</v>
      </c>
      <c r="E118" s="18" t="s">
        <v>28</v>
      </c>
      <c r="F118" s="18" t="s">
        <v>33</v>
      </c>
      <c r="G118" s="21">
        <v>2749.29</v>
      </c>
    </row>
    <row r="119" spans="2:7" x14ac:dyDescent="0.25">
      <c r="B119" s="19">
        <v>41541</v>
      </c>
      <c r="C119" s="20">
        <v>3</v>
      </c>
      <c r="D119" s="18" t="s">
        <v>25</v>
      </c>
      <c r="E119" s="18" t="s">
        <v>26</v>
      </c>
      <c r="F119" s="18" t="s">
        <v>30</v>
      </c>
      <c r="G119" s="21">
        <v>1294.82</v>
      </c>
    </row>
    <row r="120" spans="2:7" x14ac:dyDescent="0.25">
      <c r="B120" s="19">
        <v>41938</v>
      </c>
      <c r="C120" s="20">
        <v>4</v>
      </c>
      <c r="D120" s="18" t="s">
        <v>21</v>
      </c>
      <c r="E120" s="18" t="s">
        <v>19</v>
      </c>
      <c r="F120" s="18" t="s">
        <v>20</v>
      </c>
      <c r="G120" s="21">
        <v>464.78</v>
      </c>
    </row>
    <row r="121" spans="2:7" x14ac:dyDescent="0.25">
      <c r="B121" s="19">
        <v>41763</v>
      </c>
      <c r="C121" s="20">
        <v>2</v>
      </c>
      <c r="D121" s="18" t="s">
        <v>11</v>
      </c>
      <c r="E121" s="18" t="s">
        <v>23</v>
      </c>
      <c r="F121" s="18" t="s">
        <v>27</v>
      </c>
      <c r="G121" s="21">
        <v>452.51</v>
      </c>
    </row>
    <row r="122" spans="2:7" x14ac:dyDescent="0.25">
      <c r="B122" s="19">
        <v>41319</v>
      </c>
      <c r="C122" s="20">
        <v>1</v>
      </c>
      <c r="D122" s="18" t="s">
        <v>10</v>
      </c>
      <c r="E122" s="18" t="s">
        <v>28</v>
      </c>
      <c r="F122" s="18" t="s">
        <v>27</v>
      </c>
      <c r="G122" s="21">
        <v>708.59</v>
      </c>
    </row>
    <row r="123" spans="2:7" x14ac:dyDescent="0.25">
      <c r="B123" s="19">
        <v>41298</v>
      </c>
      <c r="C123" s="20">
        <v>1</v>
      </c>
      <c r="D123" s="18" t="s">
        <v>10</v>
      </c>
      <c r="E123" s="18" t="s">
        <v>28</v>
      </c>
      <c r="F123" s="18" t="s">
        <v>32</v>
      </c>
      <c r="G123" s="21">
        <v>795.71</v>
      </c>
    </row>
    <row r="124" spans="2:7" x14ac:dyDescent="0.25">
      <c r="B124" s="19">
        <v>41376</v>
      </c>
      <c r="C124" s="20">
        <v>2</v>
      </c>
      <c r="D124" s="18" t="s">
        <v>31</v>
      </c>
      <c r="E124" s="18" t="s">
        <v>28</v>
      </c>
      <c r="F124" s="18" t="s">
        <v>33</v>
      </c>
      <c r="G124" s="21">
        <v>1060.46</v>
      </c>
    </row>
    <row r="125" spans="2:7" x14ac:dyDescent="0.25">
      <c r="B125" s="19">
        <v>41991</v>
      </c>
      <c r="C125" s="20">
        <v>4</v>
      </c>
      <c r="D125" s="18" t="s">
        <v>11</v>
      </c>
      <c r="E125" s="18" t="s">
        <v>23</v>
      </c>
      <c r="F125" s="18" t="s">
        <v>29</v>
      </c>
      <c r="G125" s="21">
        <v>470.92</v>
      </c>
    </row>
    <row r="126" spans="2:7" x14ac:dyDescent="0.25">
      <c r="B126" s="19">
        <v>41942</v>
      </c>
      <c r="C126" s="20">
        <v>4</v>
      </c>
      <c r="D126" s="18" t="s">
        <v>9</v>
      </c>
      <c r="E126" s="18" t="s">
        <v>26</v>
      </c>
      <c r="F126" s="18" t="s">
        <v>30</v>
      </c>
      <c r="G126" s="21">
        <v>473.52</v>
      </c>
    </row>
    <row r="127" spans="2:7" x14ac:dyDescent="0.25">
      <c r="B127" s="19">
        <v>41465</v>
      </c>
      <c r="C127" s="20">
        <v>3</v>
      </c>
      <c r="D127" s="18" t="s">
        <v>10</v>
      </c>
      <c r="E127" s="18" t="s">
        <v>28</v>
      </c>
      <c r="F127" s="18" t="s">
        <v>24</v>
      </c>
      <c r="G127" s="21">
        <v>916.69</v>
      </c>
    </row>
    <row r="128" spans="2:7" x14ac:dyDescent="0.25">
      <c r="B128" s="19">
        <v>41948</v>
      </c>
      <c r="C128" s="20">
        <v>4</v>
      </c>
      <c r="D128" s="18" t="s">
        <v>31</v>
      </c>
      <c r="E128" s="18" t="s">
        <v>28</v>
      </c>
      <c r="F128" s="18" t="s">
        <v>32</v>
      </c>
      <c r="G128" s="21">
        <v>1364.45</v>
      </c>
    </row>
    <row r="129" spans="2:7" x14ac:dyDescent="0.25">
      <c r="B129" s="19">
        <v>41589</v>
      </c>
      <c r="C129" s="20">
        <v>4</v>
      </c>
      <c r="D129" s="18" t="s">
        <v>21</v>
      </c>
      <c r="E129" s="18" t="s">
        <v>19</v>
      </c>
      <c r="F129" s="18" t="s">
        <v>20</v>
      </c>
      <c r="G129" s="21">
        <v>708.12</v>
      </c>
    </row>
    <row r="130" spans="2:7" x14ac:dyDescent="0.25">
      <c r="B130" s="19">
        <v>41773</v>
      </c>
      <c r="C130" s="20">
        <v>2</v>
      </c>
      <c r="D130" s="18" t="s">
        <v>10</v>
      </c>
      <c r="E130" s="18" t="s">
        <v>28</v>
      </c>
      <c r="F130" s="18" t="s">
        <v>22</v>
      </c>
      <c r="G130" s="21">
        <v>1021.34</v>
      </c>
    </row>
    <row r="131" spans="2:7" x14ac:dyDescent="0.25">
      <c r="B131" s="19">
        <v>41518</v>
      </c>
      <c r="C131" s="20">
        <v>3</v>
      </c>
      <c r="D131" s="18" t="s">
        <v>18</v>
      </c>
      <c r="E131" s="18" t="s">
        <v>19</v>
      </c>
      <c r="F131" s="18" t="s">
        <v>22</v>
      </c>
      <c r="G131" s="21">
        <v>1583.42</v>
      </c>
    </row>
    <row r="132" spans="2:7" x14ac:dyDescent="0.25">
      <c r="B132" s="19">
        <v>41816</v>
      </c>
      <c r="C132" s="20">
        <v>2</v>
      </c>
      <c r="D132" s="18" t="s">
        <v>11</v>
      </c>
      <c r="E132" s="18" t="s">
        <v>23</v>
      </c>
      <c r="F132" s="18" t="s">
        <v>22</v>
      </c>
      <c r="G132" s="21">
        <v>1234.32</v>
      </c>
    </row>
    <row r="133" spans="2:7" x14ac:dyDescent="0.25">
      <c r="B133" s="19">
        <v>41740</v>
      </c>
      <c r="C133" s="20">
        <v>2</v>
      </c>
      <c r="D133" s="18" t="s">
        <v>31</v>
      </c>
      <c r="E133" s="18" t="s">
        <v>28</v>
      </c>
      <c r="F133" s="18" t="s">
        <v>29</v>
      </c>
      <c r="G133" s="21">
        <v>3962.52</v>
      </c>
    </row>
    <row r="134" spans="2:7" x14ac:dyDescent="0.25">
      <c r="B134" s="19">
        <v>41604</v>
      </c>
      <c r="C134" s="20">
        <v>4</v>
      </c>
      <c r="D134" s="18" t="s">
        <v>18</v>
      </c>
      <c r="E134" s="18" t="s">
        <v>19</v>
      </c>
      <c r="F134" s="18" t="s">
        <v>33</v>
      </c>
      <c r="G134" s="21">
        <v>384.44</v>
      </c>
    </row>
    <row r="135" spans="2:7" x14ac:dyDescent="0.25">
      <c r="B135" s="19">
        <v>41623</v>
      </c>
      <c r="C135" s="20">
        <v>4</v>
      </c>
      <c r="D135" s="18" t="s">
        <v>21</v>
      </c>
      <c r="E135" s="18" t="s">
        <v>19</v>
      </c>
      <c r="F135" s="18" t="s">
        <v>20</v>
      </c>
      <c r="G135" s="21">
        <v>351.12</v>
      </c>
    </row>
    <row r="136" spans="2:7" x14ac:dyDescent="0.25">
      <c r="B136" s="19">
        <v>41595</v>
      </c>
      <c r="C136" s="20">
        <v>4</v>
      </c>
      <c r="D136" s="18" t="s">
        <v>31</v>
      </c>
      <c r="E136" s="18" t="s">
        <v>28</v>
      </c>
      <c r="F136" s="18" t="s">
        <v>29</v>
      </c>
      <c r="G136" s="21">
        <v>3467.02</v>
      </c>
    </row>
    <row r="137" spans="2:7" x14ac:dyDescent="0.25">
      <c r="B137" s="19">
        <v>41562</v>
      </c>
      <c r="C137" s="20">
        <v>4</v>
      </c>
      <c r="D137" s="18" t="s">
        <v>25</v>
      </c>
      <c r="E137" s="18" t="s">
        <v>26</v>
      </c>
      <c r="F137" s="18" t="s">
        <v>29</v>
      </c>
      <c r="G137" s="21">
        <v>3283.82</v>
      </c>
    </row>
    <row r="138" spans="2:7" x14ac:dyDescent="0.25">
      <c r="B138" s="19">
        <v>41526</v>
      </c>
      <c r="C138" s="20">
        <v>3</v>
      </c>
      <c r="D138" s="18" t="s">
        <v>21</v>
      </c>
      <c r="E138" s="18" t="s">
        <v>19</v>
      </c>
      <c r="F138" s="18" t="s">
        <v>27</v>
      </c>
      <c r="G138" s="21">
        <v>218.45</v>
      </c>
    </row>
    <row r="139" spans="2:7" x14ac:dyDescent="0.25">
      <c r="B139" s="19">
        <v>41769</v>
      </c>
      <c r="C139" s="20">
        <v>2</v>
      </c>
      <c r="D139" s="18" t="s">
        <v>10</v>
      </c>
      <c r="E139" s="18" t="s">
        <v>28</v>
      </c>
      <c r="F139" s="18" t="s">
        <v>30</v>
      </c>
      <c r="G139" s="21">
        <v>1097.07</v>
      </c>
    </row>
    <row r="140" spans="2:7" x14ac:dyDescent="0.25">
      <c r="B140" s="19">
        <v>41805</v>
      </c>
      <c r="C140" s="20">
        <v>2</v>
      </c>
      <c r="D140" s="18" t="s">
        <v>25</v>
      </c>
      <c r="E140" s="18" t="s">
        <v>26</v>
      </c>
      <c r="F140" s="18" t="s">
        <v>22</v>
      </c>
      <c r="G140" s="21">
        <v>824.2</v>
      </c>
    </row>
    <row r="141" spans="2:7" x14ac:dyDescent="0.25">
      <c r="B141" s="19">
        <v>41771</v>
      </c>
      <c r="C141" s="20">
        <v>2</v>
      </c>
      <c r="D141" s="18" t="s">
        <v>8</v>
      </c>
      <c r="E141" s="18" t="s">
        <v>23</v>
      </c>
      <c r="F141" s="18" t="s">
        <v>30</v>
      </c>
      <c r="G141" s="21">
        <v>2505.56</v>
      </c>
    </row>
    <row r="142" spans="2:7" x14ac:dyDescent="0.25">
      <c r="B142" s="19">
        <v>41759</v>
      </c>
      <c r="C142" s="20">
        <v>2</v>
      </c>
      <c r="D142" s="18" t="s">
        <v>9</v>
      </c>
      <c r="E142" s="18" t="s">
        <v>26</v>
      </c>
      <c r="F142" s="18" t="s">
        <v>27</v>
      </c>
      <c r="G142" s="21">
        <v>446.43</v>
      </c>
    </row>
    <row r="143" spans="2:7" x14ac:dyDescent="0.25">
      <c r="B143" s="19">
        <v>41477</v>
      </c>
      <c r="C143" s="20">
        <v>3</v>
      </c>
      <c r="D143" s="18" t="s">
        <v>25</v>
      </c>
      <c r="E143" s="18" t="s">
        <v>26</v>
      </c>
      <c r="F143" s="18" t="s">
        <v>22</v>
      </c>
      <c r="G143" s="21">
        <v>237.77</v>
      </c>
    </row>
    <row r="144" spans="2:7" x14ac:dyDescent="0.25">
      <c r="B144" s="19">
        <v>41534</v>
      </c>
      <c r="C144" s="20">
        <v>3</v>
      </c>
      <c r="D144" s="18" t="s">
        <v>31</v>
      </c>
      <c r="E144" s="18" t="s">
        <v>28</v>
      </c>
      <c r="F144" s="18" t="s">
        <v>32</v>
      </c>
      <c r="G144" s="21">
        <v>1080.82</v>
      </c>
    </row>
    <row r="145" spans="2:7" x14ac:dyDescent="0.25">
      <c r="B145" s="19">
        <v>41844</v>
      </c>
      <c r="C145" s="20">
        <v>3</v>
      </c>
      <c r="D145" s="18" t="s">
        <v>9</v>
      </c>
      <c r="E145" s="18" t="s">
        <v>26</v>
      </c>
      <c r="F145" s="18" t="s">
        <v>24</v>
      </c>
      <c r="G145" s="21">
        <v>1470.25</v>
      </c>
    </row>
    <row r="146" spans="2:7" x14ac:dyDescent="0.25">
      <c r="B146" s="19">
        <v>41376</v>
      </c>
      <c r="C146" s="20">
        <v>2</v>
      </c>
      <c r="D146" s="18" t="s">
        <v>18</v>
      </c>
      <c r="E146" s="18" t="s">
        <v>19</v>
      </c>
      <c r="F146" s="18" t="s">
        <v>29</v>
      </c>
      <c r="G146" s="21">
        <v>2751.46</v>
      </c>
    </row>
    <row r="147" spans="2:7" x14ac:dyDescent="0.25">
      <c r="B147" s="19">
        <v>41579</v>
      </c>
      <c r="C147" s="20">
        <v>4</v>
      </c>
      <c r="D147" s="18" t="s">
        <v>25</v>
      </c>
      <c r="E147" s="18" t="s">
        <v>26</v>
      </c>
      <c r="F147" s="18" t="s">
        <v>29</v>
      </c>
      <c r="G147" s="21">
        <v>3048.66</v>
      </c>
    </row>
    <row r="148" spans="2:7" x14ac:dyDescent="0.25">
      <c r="B148" s="19">
        <v>41516</v>
      </c>
      <c r="C148" s="20">
        <v>3</v>
      </c>
      <c r="D148" s="18" t="s">
        <v>10</v>
      </c>
      <c r="E148" s="18" t="s">
        <v>28</v>
      </c>
      <c r="F148" s="18" t="s">
        <v>22</v>
      </c>
      <c r="G148" s="21">
        <v>1810.03</v>
      </c>
    </row>
    <row r="149" spans="2:7" x14ac:dyDescent="0.25">
      <c r="B149" s="19">
        <v>41936</v>
      </c>
      <c r="C149" s="20">
        <v>4</v>
      </c>
      <c r="D149" s="18" t="s">
        <v>8</v>
      </c>
      <c r="E149" s="18" t="s">
        <v>23</v>
      </c>
      <c r="F149" s="18" t="s">
        <v>24</v>
      </c>
      <c r="G149" s="21">
        <v>162.04</v>
      </c>
    </row>
    <row r="150" spans="2:7" x14ac:dyDescent="0.25">
      <c r="B150" s="19">
        <v>41876</v>
      </c>
      <c r="C150" s="20">
        <v>3</v>
      </c>
      <c r="D150" s="18" t="s">
        <v>21</v>
      </c>
      <c r="E150" s="18" t="s">
        <v>19</v>
      </c>
      <c r="F150" s="18" t="s">
        <v>32</v>
      </c>
      <c r="G150" s="21">
        <v>875.22</v>
      </c>
    </row>
    <row r="151" spans="2:7" x14ac:dyDescent="0.25">
      <c r="B151" s="19">
        <v>41437</v>
      </c>
      <c r="C151" s="20">
        <v>2</v>
      </c>
      <c r="D151" s="18" t="s">
        <v>25</v>
      </c>
      <c r="E151" s="18" t="s">
        <v>26</v>
      </c>
      <c r="F151" s="18" t="s">
        <v>33</v>
      </c>
      <c r="G151" s="21">
        <v>2574.54</v>
      </c>
    </row>
    <row r="152" spans="2:7" x14ac:dyDescent="0.25">
      <c r="B152" s="19">
        <v>41483</v>
      </c>
      <c r="C152" s="20">
        <v>3</v>
      </c>
      <c r="D152" s="18" t="s">
        <v>11</v>
      </c>
      <c r="E152" s="18" t="s">
        <v>23</v>
      </c>
      <c r="F152" s="18" t="s">
        <v>22</v>
      </c>
      <c r="G152" s="21">
        <v>1153.0999999999999</v>
      </c>
    </row>
    <row r="153" spans="2:7" x14ac:dyDescent="0.25">
      <c r="B153" s="19">
        <v>41652</v>
      </c>
      <c r="C153" s="20">
        <v>1</v>
      </c>
      <c r="D153" s="18" t="s">
        <v>9</v>
      </c>
      <c r="E153" s="18" t="s">
        <v>26</v>
      </c>
      <c r="F153" s="18" t="s">
        <v>29</v>
      </c>
      <c r="G153" s="21">
        <v>2721.88</v>
      </c>
    </row>
    <row r="154" spans="2:7" x14ac:dyDescent="0.25">
      <c r="B154" s="19">
        <v>41780</v>
      </c>
      <c r="C154" s="20">
        <v>2</v>
      </c>
      <c r="D154" s="18" t="s">
        <v>25</v>
      </c>
      <c r="E154" s="18" t="s">
        <v>26</v>
      </c>
      <c r="F154" s="18" t="s">
        <v>24</v>
      </c>
      <c r="G154" s="21">
        <v>1576.04</v>
      </c>
    </row>
    <row r="155" spans="2:7" x14ac:dyDescent="0.25">
      <c r="B155" s="19">
        <v>41375</v>
      </c>
      <c r="C155" s="20">
        <v>2</v>
      </c>
      <c r="D155" s="18" t="s">
        <v>18</v>
      </c>
      <c r="E155" s="18" t="s">
        <v>19</v>
      </c>
      <c r="F155" s="18" t="s">
        <v>30</v>
      </c>
      <c r="G155" s="21">
        <v>217.7</v>
      </c>
    </row>
    <row r="156" spans="2:7" x14ac:dyDescent="0.25">
      <c r="B156" s="19">
        <v>41889</v>
      </c>
      <c r="C156" s="20">
        <v>3</v>
      </c>
      <c r="D156" s="18" t="s">
        <v>18</v>
      </c>
      <c r="E156" s="18" t="s">
        <v>19</v>
      </c>
      <c r="F156" s="18" t="s">
        <v>33</v>
      </c>
      <c r="G156" s="21">
        <v>473.15</v>
      </c>
    </row>
    <row r="157" spans="2:7" x14ac:dyDescent="0.25">
      <c r="B157" s="19">
        <v>41376</v>
      </c>
      <c r="C157" s="20">
        <v>2</v>
      </c>
      <c r="D157" s="18" t="s">
        <v>9</v>
      </c>
      <c r="E157" s="18" t="s">
        <v>26</v>
      </c>
      <c r="F157" s="18" t="s">
        <v>32</v>
      </c>
      <c r="G157" s="21">
        <v>1897.59</v>
      </c>
    </row>
    <row r="158" spans="2:7" x14ac:dyDescent="0.25">
      <c r="B158" s="19">
        <v>41981</v>
      </c>
      <c r="C158" s="20">
        <v>4</v>
      </c>
      <c r="D158" s="18" t="s">
        <v>31</v>
      </c>
      <c r="E158" s="18" t="s">
        <v>28</v>
      </c>
      <c r="F158" s="18" t="s">
        <v>27</v>
      </c>
      <c r="G158" s="21">
        <v>733.86</v>
      </c>
    </row>
    <row r="159" spans="2:7" x14ac:dyDescent="0.25">
      <c r="B159" s="19">
        <v>41544</v>
      </c>
      <c r="C159" s="20">
        <v>3</v>
      </c>
      <c r="D159" s="18" t="s">
        <v>25</v>
      </c>
      <c r="E159" s="18" t="s">
        <v>26</v>
      </c>
      <c r="F159" s="18" t="s">
        <v>33</v>
      </c>
      <c r="G159" s="21">
        <v>2170.11</v>
      </c>
    </row>
    <row r="160" spans="2:7" x14ac:dyDescent="0.25">
      <c r="B160" s="19">
        <v>41651</v>
      </c>
      <c r="C160" s="20">
        <v>1</v>
      </c>
      <c r="D160" s="18" t="s">
        <v>9</v>
      </c>
      <c r="E160" s="18" t="s">
        <v>26</v>
      </c>
      <c r="F160" s="18" t="s">
        <v>20</v>
      </c>
      <c r="G160" s="21">
        <v>771.42</v>
      </c>
    </row>
    <row r="161" spans="2:7" x14ac:dyDescent="0.25">
      <c r="B161" s="19">
        <v>41504</v>
      </c>
      <c r="C161" s="20">
        <v>3</v>
      </c>
      <c r="D161" s="18" t="s">
        <v>9</v>
      </c>
      <c r="E161" s="18" t="s">
        <v>26</v>
      </c>
      <c r="F161" s="18" t="s">
        <v>30</v>
      </c>
      <c r="G161" s="21">
        <v>1771.08</v>
      </c>
    </row>
    <row r="162" spans="2:7" x14ac:dyDescent="0.25">
      <c r="B162" s="19">
        <v>41730</v>
      </c>
      <c r="C162" s="20">
        <v>2</v>
      </c>
      <c r="D162" s="18" t="s">
        <v>10</v>
      </c>
      <c r="E162" s="18" t="s">
        <v>28</v>
      </c>
      <c r="F162" s="18" t="s">
        <v>22</v>
      </c>
      <c r="G162" s="21">
        <v>1193.5</v>
      </c>
    </row>
    <row r="163" spans="2:7" x14ac:dyDescent="0.25">
      <c r="B163" s="19">
        <v>41536</v>
      </c>
      <c r="C163" s="20">
        <v>3</v>
      </c>
      <c r="D163" s="18" t="s">
        <v>8</v>
      </c>
      <c r="E163" s="18" t="s">
        <v>23</v>
      </c>
      <c r="F163" s="18" t="s">
        <v>22</v>
      </c>
      <c r="G163" s="21">
        <v>1636.68</v>
      </c>
    </row>
    <row r="164" spans="2:7" x14ac:dyDescent="0.25">
      <c r="B164" s="19">
        <v>41608</v>
      </c>
      <c r="C164" s="20">
        <v>4</v>
      </c>
      <c r="D164" s="18" t="s">
        <v>25</v>
      </c>
      <c r="E164" s="18" t="s">
        <v>26</v>
      </c>
      <c r="F164" s="18" t="s">
        <v>27</v>
      </c>
      <c r="G164" s="21">
        <v>1582.84</v>
      </c>
    </row>
    <row r="165" spans="2:7" x14ac:dyDescent="0.25">
      <c r="B165" s="19">
        <v>41281</v>
      </c>
      <c r="C165" s="20">
        <v>1</v>
      </c>
      <c r="D165" s="18" t="s">
        <v>11</v>
      </c>
      <c r="E165" s="18" t="s">
        <v>23</v>
      </c>
      <c r="F165" s="18" t="s">
        <v>20</v>
      </c>
      <c r="G165" s="21">
        <v>615.12</v>
      </c>
    </row>
    <row r="166" spans="2:7" x14ac:dyDescent="0.25">
      <c r="B166" s="19">
        <v>41900</v>
      </c>
      <c r="C166" s="20">
        <v>3</v>
      </c>
      <c r="D166" s="18" t="s">
        <v>8</v>
      </c>
      <c r="E166" s="18" t="s">
        <v>23</v>
      </c>
      <c r="F166" s="18" t="s">
        <v>29</v>
      </c>
      <c r="G166" s="21">
        <v>3396.52</v>
      </c>
    </row>
    <row r="167" spans="2:7" x14ac:dyDescent="0.25">
      <c r="B167" s="19">
        <v>41461</v>
      </c>
      <c r="C167" s="20">
        <v>3</v>
      </c>
      <c r="D167" s="18" t="s">
        <v>31</v>
      </c>
      <c r="E167" s="18" t="s">
        <v>28</v>
      </c>
      <c r="F167" s="18" t="s">
        <v>32</v>
      </c>
      <c r="G167" s="21">
        <v>1323.58</v>
      </c>
    </row>
    <row r="168" spans="2:7" x14ac:dyDescent="0.25">
      <c r="B168" s="19">
        <v>41496</v>
      </c>
      <c r="C168" s="20">
        <v>3</v>
      </c>
      <c r="D168" s="18" t="s">
        <v>21</v>
      </c>
      <c r="E168" s="18" t="s">
        <v>19</v>
      </c>
      <c r="F168" s="18" t="s">
        <v>33</v>
      </c>
      <c r="G168" s="21">
        <v>2225.94</v>
      </c>
    </row>
    <row r="169" spans="2:7" x14ac:dyDescent="0.25">
      <c r="B169" s="19">
        <v>41533</v>
      </c>
      <c r="C169" s="20">
        <v>3</v>
      </c>
      <c r="D169" s="18" t="s">
        <v>10</v>
      </c>
      <c r="E169" s="18" t="s">
        <v>28</v>
      </c>
      <c r="F169" s="18" t="s">
        <v>20</v>
      </c>
      <c r="G169" s="21">
        <v>193.39</v>
      </c>
    </row>
    <row r="170" spans="2:7" x14ac:dyDescent="0.25">
      <c r="B170" s="19">
        <v>41581</v>
      </c>
      <c r="C170" s="20">
        <v>4</v>
      </c>
      <c r="D170" s="18" t="s">
        <v>21</v>
      </c>
      <c r="E170" s="18" t="s">
        <v>19</v>
      </c>
      <c r="F170" s="18" t="s">
        <v>27</v>
      </c>
      <c r="G170" s="21">
        <v>743.88</v>
      </c>
    </row>
    <row r="171" spans="2:7" x14ac:dyDescent="0.25">
      <c r="B171" s="19">
        <v>41889</v>
      </c>
      <c r="C171" s="20">
        <v>3</v>
      </c>
      <c r="D171" s="18" t="s">
        <v>21</v>
      </c>
      <c r="E171" s="18" t="s">
        <v>19</v>
      </c>
      <c r="F171" s="18" t="s">
        <v>27</v>
      </c>
      <c r="G171" s="21">
        <v>1832.9</v>
      </c>
    </row>
    <row r="172" spans="2:7" x14ac:dyDescent="0.25">
      <c r="B172" s="19">
        <v>41470</v>
      </c>
      <c r="C172" s="20">
        <v>3</v>
      </c>
      <c r="D172" s="18" t="s">
        <v>18</v>
      </c>
      <c r="E172" s="18" t="s">
        <v>19</v>
      </c>
      <c r="F172" s="18" t="s">
        <v>22</v>
      </c>
      <c r="G172" s="21">
        <v>1791.99</v>
      </c>
    </row>
    <row r="173" spans="2:7" x14ac:dyDescent="0.25">
      <c r="B173" s="19">
        <v>41699</v>
      </c>
      <c r="C173" s="20">
        <v>1</v>
      </c>
      <c r="D173" s="18" t="s">
        <v>11</v>
      </c>
      <c r="E173" s="18" t="s">
        <v>23</v>
      </c>
      <c r="F173" s="18" t="s">
        <v>33</v>
      </c>
      <c r="G173" s="21">
        <v>1451.51</v>
      </c>
    </row>
    <row r="174" spans="2:7" x14ac:dyDescent="0.25">
      <c r="B174" s="19">
        <v>41973</v>
      </c>
      <c r="C174" s="20">
        <v>4</v>
      </c>
      <c r="D174" s="18" t="s">
        <v>10</v>
      </c>
      <c r="E174" s="18" t="s">
        <v>28</v>
      </c>
      <c r="F174" s="18" t="s">
        <v>32</v>
      </c>
      <c r="G174" s="21">
        <v>843.65</v>
      </c>
    </row>
    <row r="175" spans="2:7" x14ac:dyDescent="0.25">
      <c r="B175" s="19">
        <v>41986</v>
      </c>
      <c r="C175" s="20">
        <v>4</v>
      </c>
      <c r="D175" s="18" t="s">
        <v>18</v>
      </c>
      <c r="E175" s="18" t="s">
        <v>19</v>
      </c>
      <c r="F175" s="18" t="s">
        <v>20</v>
      </c>
      <c r="G175" s="21">
        <v>232.75</v>
      </c>
    </row>
    <row r="176" spans="2:7" x14ac:dyDescent="0.25">
      <c r="B176" s="19">
        <v>41645</v>
      </c>
      <c r="C176" s="20">
        <v>1</v>
      </c>
      <c r="D176" s="18" t="s">
        <v>21</v>
      </c>
      <c r="E176" s="18" t="s">
        <v>19</v>
      </c>
      <c r="F176" s="18" t="s">
        <v>33</v>
      </c>
      <c r="G176" s="21">
        <v>1362.57</v>
      </c>
    </row>
    <row r="177" spans="2:7" x14ac:dyDescent="0.25">
      <c r="B177" s="19">
        <v>41481</v>
      </c>
      <c r="C177" s="20">
        <v>3</v>
      </c>
      <c r="D177" s="18" t="s">
        <v>21</v>
      </c>
      <c r="E177" s="18" t="s">
        <v>19</v>
      </c>
      <c r="F177" s="18" t="s">
        <v>33</v>
      </c>
      <c r="G177" s="21">
        <v>2707.92</v>
      </c>
    </row>
    <row r="178" spans="2:7" x14ac:dyDescent="0.25">
      <c r="B178" s="19">
        <v>41584</v>
      </c>
      <c r="C178" s="20">
        <v>4</v>
      </c>
      <c r="D178" s="18" t="s">
        <v>31</v>
      </c>
      <c r="E178" s="18" t="s">
        <v>28</v>
      </c>
      <c r="F178" s="18" t="s">
        <v>32</v>
      </c>
      <c r="G178" s="21">
        <v>152.94</v>
      </c>
    </row>
    <row r="179" spans="2:7" x14ac:dyDescent="0.25">
      <c r="B179" s="19">
        <v>41888</v>
      </c>
      <c r="C179" s="20">
        <v>3</v>
      </c>
      <c r="D179" s="18" t="s">
        <v>21</v>
      </c>
      <c r="E179" s="18" t="s">
        <v>19</v>
      </c>
      <c r="F179" s="18" t="s">
        <v>29</v>
      </c>
      <c r="G179" s="21">
        <v>2044.82</v>
      </c>
    </row>
    <row r="180" spans="2:7" x14ac:dyDescent="0.25">
      <c r="B180" s="19">
        <v>41642</v>
      </c>
      <c r="C180" s="20">
        <v>1</v>
      </c>
      <c r="D180" s="18" t="s">
        <v>31</v>
      </c>
      <c r="E180" s="18" t="s">
        <v>28</v>
      </c>
      <c r="F180" s="18" t="s">
        <v>22</v>
      </c>
      <c r="G180" s="21">
        <v>1281.19</v>
      </c>
    </row>
    <row r="181" spans="2:7" x14ac:dyDescent="0.25">
      <c r="B181" s="19">
        <v>41435</v>
      </c>
      <c r="C181" s="20">
        <v>2</v>
      </c>
      <c r="D181" s="18" t="s">
        <v>25</v>
      </c>
      <c r="E181" s="18" t="s">
        <v>26</v>
      </c>
      <c r="F181" s="18" t="s">
        <v>29</v>
      </c>
      <c r="G181" s="21">
        <v>2344.1999999999998</v>
      </c>
    </row>
    <row r="182" spans="2:7" x14ac:dyDescent="0.25">
      <c r="B182" s="19">
        <v>41469</v>
      </c>
      <c r="C182" s="20">
        <v>3</v>
      </c>
      <c r="D182" s="18" t="s">
        <v>11</v>
      </c>
      <c r="E182" s="18" t="s">
        <v>23</v>
      </c>
      <c r="F182" s="18" t="s">
        <v>20</v>
      </c>
      <c r="G182" s="21">
        <v>176.54</v>
      </c>
    </row>
    <row r="183" spans="2:7" x14ac:dyDescent="0.25">
      <c r="B183" s="19">
        <v>41442</v>
      </c>
      <c r="C183" s="20">
        <v>2</v>
      </c>
      <c r="D183" s="18" t="s">
        <v>10</v>
      </c>
      <c r="E183" s="18" t="s">
        <v>28</v>
      </c>
      <c r="F183" s="18" t="s">
        <v>27</v>
      </c>
      <c r="G183" s="21">
        <v>1560.55</v>
      </c>
    </row>
    <row r="184" spans="2:7" x14ac:dyDescent="0.25">
      <c r="B184" s="19">
        <v>41971</v>
      </c>
      <c r="C184" s="20">
        <v>4</v>
      </c>
      <c r="D184" s="18" t="s">
        <v>25</v>
      </c>
      <c r="E184" s="18" t="s">
        <v>26</v>
      </c>
      <c r="F184" s="18" t="s">
        <v>30</v>
      </c>
      <c r="G184" s="21">
        <v>2113.65</v>
      </c>
    </row>
    <row r="185" spans="2:7" x14ac:dyDescent="0.25">
      <c r="B185" s="19">
        <v>41418</v>
      </c>
      <c r="C185" s="20">
        <v>2</v>
      </c>
      <c r="D185" s="18" t="s">
        <v>31</v>
      </c>
      <c r="E185" s="18" t="s">
        <v>28</v>
      </c>
      <c r="F185" s="18" t="s">
        <v>24</v>
      </c>
      <c r="G185" s="21">
        <v>1240.3900000000001</v>
      </c>
    </row>
    <row r="186" spans="2:7" x14ac:dyDescent="0.25">
      <c r="B186" s="19">
        <v>41947</v>
      </c>
      <c r="C186" s="20">
        <v>4</v>
      </c>
      <c r="D186" s="18" t="s">
        <v>9</v>
      </c>
      <c r="E186" s="18" t="s">
        <v>26</v>
      </c>
      <c r="F186" s="18" t="s">
        <v>22</v>
      </c>
      <c r="G186" s="21">
        <v>958.82</v>
      </c>
    </row>
    <row r="187" spans="2:7" x14ac:dyDescent="0.25">
      <c r="B187" s="19">
        <v>41584</v>
      </c>
      <c r="C187" s="20">
        <v>4</v>
      </c>
      <c r="D187" s="18" t="s">
        <v>9</v>
      </c>
      <c r="E187" s="18" t="s">
        <v>26</v>
      </c>
      <c r="F187" s="18" t="s">
        <v>33</v>
      </c>
      <c r="G187" s="21">
        <v>493.02</v>
      </c>
    </row>
    <row r="188" spans="2:7" x14ac:dyDescent="0.25">
      <c r="B188" s="19">
        <v>41644</v>
      </c>
      <c r="C188" s="20">
        <v>1</v>
      </c>
      <c r="D188" s="18" t="s">
        <v>10</v>
      </c>
      <c r="E188" s="18" t="s">
        <v>28</v>
      </c>
      <c r="F188" s="18" t="s">
        <v>27</v>
      </c>
      <c r="G188" s="21">
        <v>557.84</v>
      </c>
    </row>
    <row r="189" spans="2:7" x14ac:dyDescent="0.25">
      <c r="B189" s="19">
        <v>41940</v>
      </c>
      <c r="C189" s="20">
        <v>4</v>
      </c>
      <c r="D189" s="18" t="s">
        <v>31</v>
      </c>
      <c r="E189" s="18" t="s">
        <v>28</v>
      </c>
      <c r="F189" s="18" t="s">
        <v>20</v>
      </c>
      <c r="G189" s="21">
        <v>701.28</v>
      </c>
    </row>
    <row r="190" spans="2:7" x14ac:dyDescent="0.25">
      <c r="B190" s="19">
        <v>41420</v>
      </c>
      <c r="C190" s="20">
        <v>2</v>
      </c>
      <c r="D190" s="18" t="s">
        <v>8</v>
      </c>
      <c r="E190" s="18" t="s">
        <v>23</v>
      </c>
      <c r="F190" s="18" t="s">
        <v>30</v>
      </c>
      <c r="G190" s="21">
        <v>465.61</v>
      </c>
    </row>
    <row r="191" spans="2:7" x14ac:dyDescent="0.25">
      <c r="B191" s="19">
        <v>41634</v>
      </c>
      <c r="C191" s="20">
        <v>4</v>
      </c>
      <c r="D191" s="18" t="s">
        <v>8</v>
      </c>
      <c r="E191" s="18" t="s">
        <v>23</v>
      </c>
      <c r="F191" s="18" t="s">
        <v>29</v>
      </c>
      <c r="G191" s="21">
        <v>208.26</v>
      </c>
    </row>
    <row r="192" spans="2:7" x14ac:dyDescent="0.25">
      <c r="B192" s="19">
        <v>41779</v>
      </c>
      <c r="C192" s="20">
        <v>2</v>
      </c>
      <c r="D192" s="18" t="s">
        <v>8</v>
      </c>
      <c r="E192" s="18" t="s">
        <v>23</v>
      </c>
      <c r="F192" s="18" t="s">
        <v>29</v>
      </c>
      <c r="G192" s="21">
        <v>3364.5</v>
      </c>
    </row>
    <row r="193" spans="2:7" x14ac:dyDescent="0.25">
      <c r="B193" s="19">
        <v>41929</v>
      </c>
      <c r="C193" s="20">
        <v>4</v>
      </c>
      <c r="D193" s="18" t="s">
        <v>21</v>
      </c>
      <c r="E193" s="18" t="s">
        <v>19</v>
      </c>
      <c r="F193" s="18" t="s">
        <v>24</v>
      </c>
      <c r="G193" s="21">
        <v>1878.94</v>
      </c>
    </row>
    <row r="194" spans="2:7" x14ac:dyDescent="0.25">
      <c r="B194" s="19">
        <v>41335</v>
      </c>
      <c r="C194" s="20">
        <v>1</v>
      </c>
      <c r="D194" s="18" t="s">
        <v>9</v>
      </c>
      <c r="E194" s="18" t="s">
        <v>26</v>
      </c>
      <c r="F194" s="18" t="s">
        <v>22</v>
      </c>
      <c r="G194" s="21">
        <v>1408.84</v>
      </c>
    </row>
    <row r="195" spans="2:7" x14ac:dyDescent="0.25">
      <c r="B195" s="19">
        <v>41370</v>
      </c>
      <c r="C195" s="20">
        <v>2</v>
      </c>
      <c r="D195" s="18" t="s">
        <v>18</v>
      </c>
      <c r="E195" s="18" t="s">
        <v>19</v>
      </c>
      <c r="F195" s="18" t="s">
        <v>27</v>
      </c>
      <c r="G195" s="21">
        <v>1540.44</v>
      </c>
    </row>
    <row r="196" spans="2:7" x14ac:dyDescent="0.25">
      <c r="B196" s="19">
        <v>41548</v>
      </c>
      <c r="C196" s="20">
        <v>4</v>
      </c>
      <c r="D196" s="18" t="s">
        <v>31</v>
      </c>
      <c r="E196" s="18" t="s">
        <v>28</v>
      </c>
      <c r="F196" s="18" t="s">
        <v>24</v>
      </c>
      <c r="G196" s="21">
        <v>1572.35</v>
      </c>
    </row>
    <row r="197" spans="2:7" x14ac:dyDescent="0.25">
      <c r="B197" s="19">
        <v>41620</v>
      </c>
      <c r="C197" s="20">
        <v>4</v>
      </c>
      <c r="D197" s="18" t="s">
        <v>18</v>
      </c>
      <c r="E197" s="18" t="s">
        <v>19</v>
      </c>
      <c r="F197" s="18" t="s">
        <v>32</v>
      </c>
      <c r="G197" s="21">
        <v>1786</v>
      </c>
    </row>
    <row r="198" spans="2:7" x14ac:dyDescent="0.25">
      <c r="B198" s="19">
        <v>41422</v>
      </c>
      <c r="C198" s="20">
        <v>2</v>
      </c>
      <c r="D198" s="18" t="s">
        <v>18</v>
      </c>
      <c r="E198" s="18" t="s">
        <v>19</v>
      </c>
      <c r="F198" s="18" t="s">
        <v>27</v>
      </c>
      <c r="G198" s="21">
        <v>1981.69</v>
      </c>
    </row>
    <row r="199" spans="2:7" x14ac:dyDescent="0.25">
      <c r="B199" s="19">
        <v>41306</v>
      </c>
      <c r="C199" s="20">
        <v>1</v>
      </c>
      <c r="D199" s="18" t="s">
        <v>8</v>
      </c>
      <c r="E199" s="18" t="s">
        <v>23</v>
      </c>
      <c r="F199" s="18" t="s">
        <v>33</v>
      </c>
      <c r="G199" s="21">
        <v>1384.77</v>
      </c>
    </row>
    <row r="200" spans="2:7" x14ac:dyDescent="0.25">
      <c r="B200" s="19">
        <v>41948</v>
      </c>
      <c r="C200" s="20">
        <v>4</v>
      </c>
      <c r="D200" s="18" t="s">
        <v>31</v>
      </c>
      <c r="E200" s="18" t="s">
        <v>28</v>
      </c>
      <c r="F200" s="18" t="s">
        <v>33</v>
      </c>
      <c r="G200" s="21">
        <v>1086.5899999999999</v>
      </c>
    </row>
    <row r="201" spans="2:7" x14ac:dyDescent="0.25">
      <c r="B201" s="19">
        <v>41352</v>
      </c>
      <c r="C201" s="20">
        <v>1</v>
      </c>
      <c r="D201" s="18" t="s">
        <v>31</v>
      </c>
      <c r="E201" s="18" t="s">
        <v>28</v>
      </c>
      <c r="F201" s="18" t="s">
        <v>24</v>
      </c>
      <c r="G201" s="21">
        <v>164.77</v>
      </c>
    </row>
    <row r="202" spans="2:7" x14ac:dyDescent="0.25">
      <c r="B202" s="19">
        <v>41304</v>
      </c>
      <c r="C202" s="20">
        <v>1</v>
      </c>
      <c r="D202" s="18" t="s">
        <v>11</v>
      </c>
      <c r="E202" s="18" t="s">
        <v>23</v>
      </c>
      <c r="F202" s="18" t="s">
        <v>32</v>
      </c>
      <c r="G202" s="21">
        <v>1048.9000000000001</v>
      </c>
    </row>
    <row r="203" spans="2:7" x14ac:dyDescent="0.25">
      <c r="B203" s="19">
        <v>41661</v>
      </c>
      <c r="C203" s="20">
        <v>1</v>
      </c>
      <c r="D203" s="18" t="s">
        <v>10</v>
      </c>
      <c r="E203" s="18" t="s">
        <v>28</v>
      </c>
      <c r="F203" s="18" t="s">
        <v>29</v>
      </c>
      <c r="G203" s="21">
        <v>1497.9</v>
      </c>
    </row>
    <row r="204" spans="2:7" x14ac:dyDescent="0.25">
      <c r="B204" s="19">
        <v>41377</v>
      </c>
      <c r="C204" s="20">
        <v>2</v>
      </c>
      <c r="D204" s="18" t="s">
        <v>11</v>
      </c>
      <c r="E204" s="18" t="s">
        <v>23</v>
      </c>
      <c r="F204" s="18" t="s">
        <v>32</v>
      </c>
      <c r="G204" s="21">
        <v>1845.39</v>
      </c>
    </row>
    <row r="205" spans="2:7" x14ac:dyDescent="0.25">
      <c r="B205" s="19">
        <v>41989</v>
      </c>
      <c r="C205" s="20">
        <v>4</v>
      </c>
      <c r="D205" s="18" t="s">
        <v>18</v>
      </c>
      <c r="E205" s="18" t="s">
        <v>19</v>
      </c>
      <c r="F205" s="18" t="s">
        <v>24</v>
      </c>
      <c r="G205" s="21">
        <v>612.6</v>
      </c>
    </row>
    <row r="206" spans="2:7" x14ac:dyDescent="0.25">
      <c r="B206" s="19">
        <v>41466</v>
      </c>
      <c r="C206" s="20">
        <v>3</v>
      </c>
      <c r="D206" s="18" t="s">
        <v>21</v>
      </c>
      <c r="E206" s="18" t="s">
        <v>19</v>
      </c>
      <c r="F206" s="18" t="s">
        <v>29</v>
      </c>
      <c r="G206" s="21">
        <v>2233.36</v>
      </c>
    </row>
    <row r="207" spans="2:7" x14ac:dyDescent="0.25">
      <c r="B207" s="19">
        <v>41445</v>
      </c>
      <c r="C207" s="20">
        <v>2</v>
      </c>
      <c r="D207" s="18" t="s">
        <v>31</v>
      </c>
      <c r="E207" s="18" t="s">
        <v>28</v>
      </c>
      <c r="F207" s="18" t="s">
        <v>22</v>
      </c>
      <c r="G207" s="21">
        <v>1115.73</v>
      </c>
    </row>
    <row r="208" spans="2:7" x14ac:dyDescent="0.25">
      <c r="B208" s="19">
        <v>41715</v>
      </c>
      <c r="C208" s="20">
        <v>1</v>
      </c>
      <c r="D208" s="18" t="s">
        <v>9</v>
      </c>
      <c r="E208" s="18" t="s">
        <v>26</v>
      </c>
      <c r="F208" s="18" t="s">
        <v>33</v>
      </c>
      <c r="G208" s="21">
        <v>1974.54</v>
      </c>
    </row>
    <row r="209" spans="2:7" x14ac:dyDescent="0.25">
      <c r="B209" s="19">
        <v>41915</v>
      </c>
      <c r="C209" s="20">
        <v>4</v>
      </c>
      <c r="D209" s="18" t="s">
        <v>21</v>
      </c>
      <c r="E209" s="18" t="s">
        <v>19</v>
      </c>
      <c r="F209" s="18" t="s">
        <v>24</v>
      </c>
      <c r="G209" s="21">
        <v>1314.46</v>
      </c>
    </row>
    <row r="210" spans="2:7" x14ac:dyDescent="0.25">
      <c r="B210" s="19">
        <v>41296</v>
      </c>
      <c r="C210" s="20">
        <v>1</v>
      </c>
      <c r="D210" s="18" t="s">
        <v>31</v>
      </c>
      <c r="E210" s="18" t="s">
        <v>28</v>
      </c>
      <c r="F210" s="18" t="s">
        <v>33</v>
      </c>
      <c r="G210" s="21">
        <v>2531.94</v>
      </c>
    </row>
    <row r="211" spans="2:7" x14ac:dyDescent="0.25">
      <c r="B211" s="19">
        <v>41489</v>
      </c>
      <c r="C211" s="20">
        <v>3</v>
      </c>
      <c r="D211" s="18" t="s">
        <v>31</v>
      </c>
      <c r="E211" s="18" t="s">
        <v>28</v>
      </c>
      <c r="F211" s="18" t="s">
        <v>32</v>
      </c>
      <c r="G211" s="21">
        <v>153.74</v>
      </c>
    </row>
    <row r="212" spans="2:7" x14ac:dyDescent="0.25">
      <c r="B212" s="19">
        <v>41305</v>
      </c>
      <c r="C212" s="20">
        <v>1</v>
      </c>
      <c r="D212" s="18" t="s">
        <v>8</v>
      </c>
      <c r="E212" s="18" t="s">
        <v>23</v>
      </c>
      <c r="F212" s="18" t="s">
        <v>24</v>
      </c>
      <c r="G212" s="21">
        <v>794.69</v>
      </c>
    </row>
    <row r="213" spans="2:7" x14ac:dyDescent="0.25">
      <c r="B213" s="19">
        <v>41515</v>
      </c>
      <c r="C213" s="20">
        <v>3</v>
      </c>
      <c r="D213" s="18" t="s">
        <v>9</v>
      </c>
      <c r="E213" s="18" t="s">
        <v>26</v>
      </c>
      <c r="F213" s="18" t="s">
        <v>27</v>
      </c>
      <c r="G213" s="21">
        <v>617.89</v>
      </c>
    </row>
    <row r="214" spans="2:7" x14ac:dyDescent="0.25">
      <c r="B214" s="19">
        <v>41457</v>
      </c>
      <c r="C214" s="20">
        <v>3</v>
      </c>
      <c r="D214" s="18" t="s">
        <v>8</v>
      </c>
      <c r="E214" s="18" t="s">
        <v>23</v>
      </c>
      <c r="F214" s="18" t="s">
        <v>27</v>
      </c>
      <c r="G214" s="21">
        <v>665.03</v>
      </c>
    </row>
    <row r="215" spans="2:7" x14ac:dyDescent="0.25">
      <c r="B215" s="19">
        <v>41812</v>
      </c>
      <c r="C215" s="20">
        <v>2</v>
      </c>
      <c r="D215" s="18" t="s">
        <v>10</v>
      </c>
      <c r="E215" s="18" t="s">
        <v>28</v>
      </c>
      <c r="F215" s="18" t="s">
        <v>27</v>
      </c>
      <c r="G215" s="21">
        <v>1175.3</v>
      </c>
    </row>
    <row r="216" spans="2:7" x14ac:dyDescent="0.25">
      <c r="B216" s="19">
        <v>41386</v>
      </c>
      <c r="C216" s="20">
        <v>2</v>
      </c>
      <c r="D216" s="18" t="s">
        <v>11</v>
      </c>
      <c r="E216" s="18" t="s">
        <v>23</v>
      </c>
      <c r="F216" s="18" t="s">
        <v>27</v>
      </c>
      <c r="G216" s="21">
        <v>678.51</v>
      </c>
    </row>
    <row r="217" spans="2:7" x14ac:dyDescent="0.25">
      <c r="B217" s="19">
        <v>41764</v>
      </c>
      <c r="C217" s="20">
        <v>2</v>
      </c>
      <c r="D217" s="18" t="s">
        <v>9</v>
      </c>
      <c r="E217" s="18" t="s">
        <v>26</v>
      </c>
      <c r="F217" s="18" t="s">
        <v>29</v>
      </c>
      <c r="G217" s="21">
        <v>608.86</v>
      </c>
    </row>
    <row r="218" spans="2:7" x14ac:dyDescent="0.25">
      <c r="B218" s="19">
        <v>41438</v>
      </c>
      <c r="C218" s="20">
        <v>2</v>
      </c>
      <c r="D218" s="18" t="s">
        <v>10</v>
      </c>
      <c r="E218" s="18" t="s">
        <v>28</v>
      </c>
      <c r="F218" s="18" t="s">
        <v>27</v>
      </c>
      <c r="G218" s="21">
        <v>365.52</v>
      </c>
    </row>
    <row r="219" spans="2:7" x14ac:dyDescent="0.25">
      <c r="B219" s="19">
        <v>41293</v>
      </c>
      <c r="C219" s="20">
        <v>1</v>
      </c>
      <c r="D219" s="18" t="s">
        <v>31</v>
      </c>
      <c r="E219" s="18" t="s">
        <v>28</v>
      </c>
      <c r="F219" s="18" t="s">
        <v>20</v>
      </c>
      <c r="G219" s="21">
        <v>228.16</v>
      </c>
    </row>
    <row r="220" spans="2:7" x14ac:dyDescent="0.25">
      <c r="B220" s="19">
        <v>41738</v>
      </c>
      <c r="C220" s="20">
        <v>2</v>
      </c>
      <c r="D220" s="18" t="s">
        <v>18</v>
      </c>
      <c r="E220" s="18" t="s">
        <v>19</v>
      </c>
      <c r="F220" s="18" t="s">
        <v>33</v>
      </c>
      <c r="G220" s="21">
        <v>1634.75</v>
      </c>
    </row>
    <row r="221" spans="2:7" x14ac:dyDescent="0.25">
      <c r="B221" s="19">
        <v>41402</v>
      </c>
      <c r="C221" s="20">
        <v>2</v>
      </c>
      <c r="D221" s="18" t="s">
        <v>31</v>
      </c>
      <c r="E221" s="18" t="s">
        <v>28</v>
      </c>
      <c r="F221" s="18" t="s">
        <v>27</v>
      </c>
      <c r="G221" s="21">
        <v>1685.76</v>
      </c>
    </row>
    <row r="222" spans="2:7" x14ac:dyDescent="0.25">
      <c r="B222" s="19">
        <v>41372</v>
      </c>
      <c r="C222" s="20">
        <v>2</v>
      </c>
      <c r="D222" s="18" t="s">
        <v>11</v>
      </c>
      <c r="E222" s="18" t="s">
        <v>23</v>
      </c>
      <c r="F222" s="18" t="s">
        <v>29</v>
      </c>
      <c r="G222" s="21">
        <v>3031.26</v>
      </c>
    </row>
    <row r="223" spans="2:7" x14ac:dyDescent="0.25">
      <c r="B223" s="19">
        <v>41626</v>
      </c>
      <c r="C223" s="20">
        <v>4</v>
      </c>
      <c r="D223" s="18" t="s">
        <v>8</v>
      </c>
      <c r="E223" s="18" t="s">
        <v>23</v>
      </c>
      <c r="F223" s="18" t="s">
        <v>33</v>
      </c>
      <c r="G223" s="21">
        <v>352.47</v>
      </c>
    </row>
    <row r="224" spans="2:7" x14ac:dyDescent="0.25">
      <c r="B224" s="19">
        <v>41491</v>
      </c>
      <c r="C224" s="20">
        <v>3</v>
      </c>
      <c r="D224" s="18" t="s">
        <v>8</v>
      </c>
      <c r="E224" s="18" t="s">
        <v>23</v>
      </c>
      <c r="F224" s="18" t="s">
        <v>32</v>
      </c>
      <c r="G224" s="21">
        <v>1176.51</v>
      </c>
    </row>
    <row r="225" spans="2:7" x14ac:dyDescent="0.25">
      <c r="B225" s="19">
        <v>41360</v>
      </c>
      <c r="C225" s="20">
        <v>1</v>
      </c>
      <c r="D225" s="18" t="s">
        <v>8</v>
      </c>
      <c r="E225" s="18" t="s">
        <v>23</v>
      </c>
      <c r="F225" s="18" t="s">
        <v>20</v>
      </c>
      <c r="G225" s="21">
        <v>197.1</v>
      </c>
    </row>
    <row r="226" spans="2:7" x14ac:dyDescent="0.25">
      <c r="B226" s="19">
        <v>41401</v>
      </c>
      <c r="C226" s="20">
        <v>2</v>
      </c>
      <c r="D226" s="18" t="s">
        <v>9</v>
      </c>
      <c r="E226" s="18" t="s">
        <v>26</v>
      </c>
      <c r="F226" s="18" t="s">
        <v>30</v>
      </c>
      <c r="G226" s="21">
        <v>2811.39</v>
      </c>
    </row>
    <row r="227" spans="2:7" x14ac:dyDescent="0.25">
      <c r="B227" s="19">
        <v>41482</v>
      </c>
      <c r="C227" s="20">
        <v>3</v>
      </c>
      <c r="D227" s="18" t="s">
        <v>25</v>
      </c>
      <c r="E227" s="18" t="s">
        <v>26</v>
      </c>
      <c r="F227" s="18" t="s">
        <v>32</v>
      </c>
      <c r="G227" s="21">
        <v>978.14</v>
      </c>
    </row>
    <row r="228" spans="2:7" x14ac:dyDescent="0.25">
      <c r="B228" s="19">
        <v>41912</v>
      </c>
      <c r="C228" s="20">
        <v>3</v>
      </c>
      <c r="D228" s="18" t="s">
        <v>18</v>
      </c>
      <c r="E228" s="18" t="s">
        <v>19</v>
      </c>
      <c r="F228" s="18" t="s">
        <v>29</v>
      </c>
      <c r="G228" s="21">
        <v>1564.38</v>
      </c>
    </row>
    <row r="229" spans="2:7" x14ac:dyDescent="0.25">
      <c r="B229" s="19">
        <v>41432</v>
      </c>
      <c r="C229" s="20">
        <v>2</v>
      </c>
      <c r="D229" s="18" t="s">
        <v>11</v>
      </c>
      <c r="E229" s="18" t="s">
        <v>23</v>
      </c>
      <c r="F229" s="18" t="s">
        <v>32</v>
      </c>
      <c r="G229" s="21">
        <v>831.6</v>
      </c>
    </row>
    <row r="230" spans="2:7" x14ac:dyDescent="0.25">
      <c r="B230" s="19">
        <v>41289</v>
      </c>
      <c r="C230" s="20">
        <v>1</v>
      </c>
      <c r="D230" s="18" t="s">
        <v>9</v>
      </c>
      <c r="E230" s="18" t="s">
        <v>26</v>
      </c>
      <c r="F230" s="18" t="s">
        <v>33</v>
      </c>
      <c r="G230" s="21">
        <v>485.55</v>
      </c>
    </row>
    <row r="231" spans="2:7" x14ac:dyDescent="0.25">
      <c r="B231" s="19">
        <v>41855</v>
      </c>
      <c r="C231" s="20">
        <v>3</v>
      </c>
      <c r="D231" s="18" t="s">
        <v>21</v>
      </c>
      <c r="E231" s="18" t="s">
        <v>19</v>
      </c>
      <c r="F231" s="18" t="s">
        <v>24</v>
      </c>
      <c r="G231" s="21">
        <v>1644.03</v>
      </c>
    </row>
    <row r="232" spans="2:7" x14ac:dyDescent="0.25">
      <c r="B232" s="19">
        <v>41896</v>
      </c>
      <c r="C232" s="20">
        <v>3</v>
      </c>
      <c r="D232" s="18" t="s">
        <v>10</v>
      </c>
      <c r="E232" s="18" t="s">
        <v>28</v>
      </c>
      <c r="F232" s="18" t="s">
        <v>32</v>
      </c>
      <c r="G232" s="21">
        <v>840.13</v>
      </c>
    </row>
    <row r="233" spans="2:7" x14ac:dyDescent="0.25">
      <c r="B233" s="19">
        <v>41792</v>
      </c>
      <c r="C233" s="20">
        <v>2</v>
      </c>
      <c r="D233" s="18" t="s">
        <v>21</v>
      </c>
      <c r="E233" s="18" t="s">
        <v>19</v>
      </c>
      <c r="F233" s="18" t="s">
        <v>33</v>
      </c>
      <c r="G233" s="21">
        <v>2961.24</v>
      </c>
    </row>
    <row r="234" spans="2:7" x14ac:dyDescent="0.25">
      <c r="B234" s="19">
        <v>41402</v>
      </c>
      <c r="C234" s="20">
        <v>2</v>
      </c>
      <c r="D234" s="18" t="s">
        <v>31</v>
      </c>
      <c r="E234" s="18" t="s">
        <v>28</v>
      </c>
      <c r="F234" s="18" t="s">
        <v>29</v>
      </c>
      <c r="G234" s="21">
        <v>644.12</v>
      </c>
    </row>
    <row r="235" spans="2:7" x14ac:dyDescent="0.25">
      <c r="B235" s="19">
        <v>41611</v>
      </c>
      <c r="C235" s="20">
        <v>4</v>
      </c>
      <c r="D235" s="18" t="s">
        <v>10</v>
      </c>
      <c r="E235" s="18" t="s">
        <v>28</v>
      </c>
      <c r="F235" s="18" t="s">
        <v>20</v>
      </c>
      <c r="G235" s="21">
        <v>762.24</v>
      </c>
    </row>
    <row r="236" spans="2:7" x14ac:dyDescent="0.25">
      <c r="B236" s="19">
        <v>41569</v>
      </c>
      <c r="C236" s="20">
        <v>4</v>
      </c>
      <c r="D236" s="18" t="s">
        <v>31</v>
      </c>
      <c r="E236" s="18" t="s">
        <v>28</v>
      </c>
      <c r="F236" s="18" t="s">
        <v>24</v>
      </c>
      <c r="G236" s="21">
        <v>1551.25</v>
      </c>
    </row>
    <row r="237" spans="2:7" x14ac:dyDescent="0.25">
      <c r="B237" s="19">
        <v>41695</v>
      </c>
      <c r="C237" s="20">
        <v>1</v>
      </c>
      <c r="D237" s="18" t="s">
        <v>25</v>
      </c>
      <c r="E237" s="18" t="s">
        <v>26</v>
      </c>
      <c r="F237" s="18" t="s">
        <v>29</v>
      </c>
      <c r="G237" s="21">
        <v>2736.86</v>
      </c>
    </row>
    <row r="238" spans="2:7" x14ac:dyDescent="0.25">
      <c r="B238" s="19">
        <v>41698</v>
      </c>
      <c r="C238" s="20">
        <v>1</v>
      </c>
      <c r="D238" s="18" t="s">
        <v>25</v>
      </c>
      <c r="E238" s="18" t="s">
        <v>26</v>
      </c>
      <c r="F238" s="18" t="s">
        <v>33</v>
      </c>
      <c r="G238" s="21">
        <v>1838.09</v>
      </c>
    </row>
    <row r="239" spans="2:7" x14ac:dyDescent="0.25">
      <c r="B239" s="19">
        <v>41659</v>
      </c>
      <c r="C239" s="20">
        <v>1</v>
      </c>
      <c r="D239" s="18" t="s">
        <v>10</v>
      </c>
      <c r="E239" s="18" t="s">
        <v>28</v>
      </c>
      <c r="F239" s="18" t="s">
        <v>22</v>
      </c>
      <c r="G239" s="21">
        <v>1647.31</v>
      </c>
    </row>
    <row r="240" spans="2:7" x14ac:dyDescent="0.25">
      <c r="B240" s="19">
        <v>41648</v>
      </c>
      <c r="C240" s="20">
        <v>1</v>
      </c>
      <c r="D240" s="18" t="s">
        <v>11</v>
      </c>
      <c r="E240" s="18" t="s">
        <v>23</v>
      </c>
      <c r="F240" s="18" t="s">
        <v>22</v>
      </c>
      <c r="G240" s="21">
        <v>1211.8</v>
      </c>
    </row>
    <row r="241" spans="2:7" x14ac:dyDescent="0.25">
      <c r="B241" s="19">
        <v>41763</v>
      </c>
      <c r="C241" s="20">
        <v>2</v>
      </c>
      <c r="D241" s="18" t="s">
        <v>18</v>
      </c>
      <c r="E241" s="18" t="s">
        <v>19</v>
      </c>
      <c r="F241" s="18" t="s">
        <v>33</v>
      </c>
      <c r="G241" s="21">
        <v>228.03</v>
      </c>
    </row>
    <row r="242" spans="2:7" x14ac:dyDescent="0.25">
      <c r="B242" s="19">
        <v>41569</v>
      </c>
      <c r="C242" s="20">
        <v>4</v>
      </c>
      <c r="D242" s="18" t="s">
        <v>10</v>
      </c>
      <c r="E242" s="18" t="s">
        <v>28</v>
      </c>
      <c r="F242" s="18" t="s">
        <v>30</v>
      </c>
      <c r="G242" s="21">
        <v>2221.9899999999998</v>
      </c>
    </row>
    <row r="243" spans="2:7" x14ac:dyDescent="0.25">
      <c r="B243" s="19">
        <v>41629</v>
      </c>
      <c r="C243" s="20">
        <v>4</v>
      </c>
      <c r="D243" s="18" t="s">
        <v>11</v>
      </c>
      <c r="E243" s="18" t="s">
        <v>23</v>
      </c>
      <c r="F243" s="18" t="s">
        <v>29</v>
      </c>
      <c r="G243" s="21">
        <v>1451.54</v>
      </c>
    </row>
    <row r="244" spans="2:7" x14ac:dyDescent="0.25">
      <c r="B244" s="19">
        <v>41364</v>
      </c>
      <c r="C244" s="20">
        <v>1</v>
      </c>
      <c r="D244" s="18" t="s">
        <v>31</v>
      </c>
      <c r="E244" s="18" t="s">
        <v>28</v>
      </c>
      <c r="F244" s="18" t="s">
        <v>22</v>
      </c>
      <c r="G244" s="21">
        <v>1475.45</v>
      </c>
    </row>
    <row r="245" spans="2:7" x14ac:dyDescent="0.25">
      <c r="B245" s="19">
        <v>41965</v>
      </c>
      <c r="C245" s="20">
        <v>4</v>
      </c>
      <c r="D245" s="18" t="s">
        <v>9</v>
      </c>
      <c r="E245" s="18" t="s">
        <v>26</v>
      </c>
      <c r="F245" s="18" t="s">
        <v>24</v>
      </c>
      <c r="G245" s="21">
        <v>696.55</v>
      </c>
    </row>
    <row r="246" spans="2:7" x14ac:dyDescent="0.25">
      <c r="B246" s="19">
        <v>41837</v>
      </c>
      <c r="C246" s="20">
        <v>3</v>
      </c>
      <c r="D246" s="18" t="s">
        <v>11</v>
      </c>
      <c r="E246" s="18" t="s">
        <v>23</v>
      </c>
      <c r="F246" s="18" t="s">
        <v>33</v>
      </c>
      <c r="G246" s="21">
        <v>965.15</v>
      </c>
    </row>
    <row r="247" spans="2:7" x14ac:dyDescent="0.25">
      <c r="B247" s="19">
        <v>41588</v>
      </c>
      <c r="C247" s="20">
        <v>4</v>
      </c>
      <c r="D247" s="18" t="s">
        <v>31</v>
      </c>
      <c r="E247" s="18" t="s">
        <v>28</v>
      </c>
      <c r="F247" s="18" t="s">
        <v>30</v>
      </c>
      <c r="G247" s="21">
        <v>1445.37</v>
      </c>
    </row>
    <row r="248" spans="2:7" x14ac:dyDescent="0.25">
      <c r="B248" s="19">
        <v>41581</v>
      </c>
      <c r="C248" s="20">
        <v>4</v>
      </c>
      <c r="D248" s="18" t="s">
        <v>31</v>
      </c>
      <c r="E248" s="18" t="s">
        <v>28</v>
      </c>
      <c r="F248" s="18" t="s">
        <v>27</v>
      </c>
      <c r="G248" s="21">
        <v>749.86</v>
      </c>
    </row>
    <row r="249" spans="2:7" x14ac:dyDescent="0.25">
      <c r="B249" s="19">
        <v>41722</v>
      </c>
      <c r="C249" s="20">
        <v>1</v>
      </c>
      <c r="D249" s="18" t="s">
        <v>21</v>
      </c>
      <c r="E249" s="18" t="s">
        <v>19</v>
      </c>
      <c r="F249" s="18" t="s">
        <v>22</v>
      </c>
      <c r="G249" s="21">
        <v>1718.87</v>
      </c>
    </row>
    <row r="250" spans="2:7" x14ac:dyDescent="0.25">
      <c r="B250" s="19">
        <v>41444</v>
      </c>
      <c r="C250" s="20">
        <v>2</v>
      </c>
      <c r="D250" s="18" t="s">
        <v>9</v>
      </c>
      <c r="E250" s="18" t="s">
        <v>26</v>
      </c>
      <c r="F250" s="18" t="s">
        <v>30</v>
      </c>
      <c r="G250" s="21">
        <v>2125.2399999999998</v>
      </c>
    </row>
    <row r="251" spans="2:7" x14ac:dyDescent="0.25">
      <c r="B251" s="19">
        <v>41282</v>
      </c>
      <c r="C251" s="20">
        <v>1</v>
      </c>
      <c r="D251" s="18" t="s">
        <v>11</v>
      </c>
      <c r="E251" s="18" t="s">
        <v>23</v>
      </c>
      <c r="F251" s="18" t="s">
        <v>29</v>
      </c>
      <c r="G251" s="21">
        <v>2390.14</v>
      </c>
    </row>
    <row r="252" spans="2:7" x14ac:dyDescent="0.25">
      <c r="B252" s="19">
        <v>41493</v>
      </c>
      <c r="C252" s="20">
        <v>3</v>
      </c>
      <c r="D252" s="18" t="s">
        <v>11</v>
      </c>
      <c r="E252" s="18" t="s">
        <v>23</v>
      </c>
      <c r="F252" s="18" t="s">
        <v>20</v>
      </c>
      <c r="G252" s="21">
        <v>136.81</v>
      </c>
    </row>
    <row r="253" spans="2:7" x14ac:dyDescent="0.25">
      <c r="B253" s="19">
        <v>41938</v>
      </c>
      <c r="C253" s="20">
        <v>4</v>
      </c>
      <c r="D253" s="18" t="s">
        <v>21</v>
      </c>
      <c r="E253" s="18" t="s">
        <v>19</v>
      </c>
      <c r="F253" s="18" t="s">
        <v>27</v>
      </c>
      <c r="G253" s="21">
        <v>988.97</v>
      </c>
    </row>
    <row r="254" spans="2:7" x14ac:dyDescent="0.25">
      <c r="B254" s="19">
        <v>41910</v>
      </c>
      <c r="C254" s="20">
        <v>3</v>
      </c>
      <c r="D254" s="18" t="s">
        <v>11</v>
      </c>
      <c r="E254" s="18" t="s">
        <v>23</v>
      </c>
      <c r="F254" s="18" t="s">
        <v>29</v>
      </c>
      <c r="G254" s="21">
        <v>1125.82</v>
      </c>
    </row>
    <row r="255" spans="2:7" x14ac:dyDescent="0.25">
      <c r="B255" s="19">
        <v>41863</v>
      </c>
      <c r="C255" s="20">
        <v>3</v>
      </c>
      <c r="D255" s="18" t="s">
        <v>25</v>
      </c>
      <c r="E255" s="18" t="s">
        <v>26</v>
      </c>
      <c r="F255" s="18" t="s">
        <v>20</v>
      </c>
      <c r="G255" s="21">
        <v>256.77</v>
      </c>
    </row>
    <row r="256" spans="2:7" x14ac:dyDescent="0.25">
      <c r="B256" s="19">
        <v>41536</v>
      </c>
      <c r="C256" s="20">
        <v>3</v>
      </c>
      <c r="D256" s="18" t="s">
        <v>9</v>
      </c>
      <c r="E256" s="18" t="s">
        <v>26</v>
      </c>
      <c r="F256" s="18" t="s">
        <v>30</v>
      </c>
      <c r="G256" s="21">
        <v>153.68</v>
      </c>
    </row>
    <row r="257" spans="2:7" x14ac:dyDescent="0.25">
      <c r="B257" s="19">
        <v>42003</v>
      </c>
      <c r="C257" s="20">
        <v>4</v>
      </c>
      <c r="D257" s="18" t="s">
        <v>9</v>
      </c>
      <c r="E257" s="18" t="s">
        <v>26</v>
      </c>
      <c r="F257" s="18" t="s">
        <v>20</v>
      </c>
      <c r="G257" s="21">
        <v>534.16</v>
      </c>
    </row>
    <row r="258" spans="2:7" x14ac:dyDescent="0.25">
      <c r="B258" s="19">
        <v>41731</v>
      </c>
      <c r="C258" s="20">
        <v>2</v>
      </c>
      <c r="D258" s="18" t="s">
        <v>18</v>
      </c>
      <c r="E258" s="18" t="s">
        <v>19</v>
      </c>
      <c r="F258" s="18" t="s">
        <v>29</v>
      </c>
      <c r="G258" s="21">
        <v>930.96</v>
      </c>
    </row>
    <row r="259" spans="2:7" x14ac:dyDescent="0.25">
      <c r="B259" s="19">
        <v>41994</v>
      </c>
      <c r="C259" s="20">
        <v>4</v>
      </c>
      <c r="D259" s="18" t="s">
        <v>25</v>
      </c>
      <c r="E259" s="18" t="s">
        <v>26</v>
      </c>
      <c r="F259" s="18" t="s">
        <v>29</v>
      </c>
      <c r="G259" s="21">
        <v>1193.42</v>
      </c>
    </row>
    <row r="260" spans="2:7" x14ac:dyDescent="0.25">
      <c r="B260" s="19">
        <v>41392</v>
      </c>
      <c r="C260" s="20">
        <v>2</v>
      </c>
      <c r="D260" s="18" t="s">
        <v>10</v>
      </c>
      <c r="E260" s="18" t="s">
        <v>28</v>
      </c>
      <c r="F260" s="18" t="s">
        <v>33</v>
      </c>
      <c r="G260" s="21">
        <v>1199.82</v>
      </c>
    </row>
    <row r="261" spans="2:7" x14ac:dyDescent="0.25">
      <c r="B261" s="19">
        <v>41453</v>
      </c>
      <c r="C261" s="20">
        <v>2</v>
      </c>
      <c r="D261" s="18" t="s">
        <v>25</v>
      </c>
      <c r="E261" s="18" t="s">
        <v>26</v>
      </c>
      <c r="F261" s="18" t="s">
        <v>20</v>
      </c>
      <c r="G261" s="21">
        <v>247.9</v>
      </c>
    </row>
    <row r="262" spans="2:7" x14ac:dyDescent="0.25">
      <c r="B262" s="19">
        <v>41870</v>
      </c>
      <c r="C262" s="20">
        <v>3</v>
      </c>
      <c r="D262" s="18" t="s">
        <v>18</v>
      </c>
      <c r="E262" s="18" t="s">
        <v>19</v>
      </c>
      <c r="F262" s="18" t="s">
        <v>27</v>
      </c>
      <c r="G262" s="21">
        <v>1359.57</v>
      </c>
    </row>
    <row r="263" spans="2:7" x14ac:dyDescent="0.25">
      <c r="B263" s="19">
        <v>41849</v>
      </c>
      <c r="C263" s="20">
        <v>3</v>
      </c>
      <c r="D263" s="18" t="s">
        <v>18</v>
      </c>
      <c r="E263" s="18" t="s">
        <v>19</v>
      </c>
      <c r="F263" s="18" t="s">
        <v>32</v>
      </c>
      <c r="G263" s="21">
        <v>1631.28</v>
      </c>
    </row>
    <row r="264" spans="2:7" x14ac:dyDescent="0.25">
      <c r="B264" s="19">
        <v>41723</v>
      </c>
      <c r="C264" s="20">
        <v>1</v>
      </c>
      <c r="D264" s="18" t="s">
        <v>10</v>
      </c>
      <c r="E264" s="18" t="s">
        <v>28</v>
      </c>
      <c r="F264" s="18" t="s">
        <v>33</v>
      </c>
      <c r="G264" s="21">
        <v>1194.1400000000001</v>
      </c>
    </row>
    <row r="265" spans="2:7" x14ac:dyDescent="0.25">
      <c r="B265" s="19">
        <v>41806</v>
      </c>
      <c r="C265" s="20">
        <v>2</v>
      </c>
      <c r="D265" s="18" t="s">
        <v>31</v>
      </c>
      <c r="E265" s="18" t="s">
        <v>28</v>
      </c>
      <c r="F265" s="18" t="s">
        <v>30</v>
      </c>
      <c r="G265" s="21">
        <v>1373.14</v>
      </c>
    </row>
    <row r="266" spans="2:7" x14ac:dyDescent="0.25">
      <c r="B266" s="19">
        <v>41294</v>
      </c>
      <c r="C266" s="20">
        <v>1</v>
      </c>
      <c r="D266" s="18" t="s">
        <v>31</v>
      </c>
      <c r="E266" s="18" t="s">
        <v>28</v>
      </c>
      <c r="F266" s="18" t="s">
        <v>20</v>
      </c>
      <c r="G266" s="21">
        <v>660.09</v>
      </c>
    </row>
    <row r="267" spans="2:7" x14ac:dyDescent="0.25">
      <c r="B267" s="19">
        <v>41607</v>
      </c>
      <c r="C267" s="20">
        <v>4</v>
      </c>
      <c r="D267" s="18" t="s">
        <v>11</v>
      </c>
      <c r="E267" s="18" t="s">
        <v>23</v>
      </c>
      <c r="F267" s="18" t="s">
        <v>22</v>
      </c>
      <c r="G267" s="21">
        <v>320.31</v>
      </c>
    </row>
    <row r="268" spans="2:7" x14ac:dyDescent="0.25">
      <c r="B268" s="19">
        <v>41838</v>
      </c>
      <c r="C268" s="20">
        <v>3</v>
      </c>
      <c r="D268" s="18" t="s">
        <v>21</v>
      </c>
      <c r="E268" s="18" t="s">
        <v>19</v>
      </c>
      <c r="F268" s="18" t="s">
        <v>30</v>
      </c>
      <c r="G268" s="21">
        <v>823.67</v>
      </c>
    </row>
    <row r="269" spans="2:7" x14ac:dyDescent="0.25">
      <c r="B269" s="19">
        <v>41624</v>
      </c>
      <c r="C269" s="20">
        <v>4</v>
      </c>
      <c r="D269" s="18" t="s">
        <v>11</v>
      </c>
      <c r="E269" s="18" t="s">
        <v>23</v>
      </c>
      <c r="F269" s="18" t="s">
        <v>27</v>
      </c>
      <c r="G269" s="21">
        <v>174.67</v>
      </c>
    </row>
    <row r="270" spans="2:7" x14ac:dyDescent="0.25">
      <c r="B270" s="19">
        <v>41735</v>
      </c>
      <c r="C270" s="20">
        <v>2</v>
      </c>
      <c r="D270" s="18" t="s">
        <v>18</v>
      </c>
      <c r="E270" s="18" t="s">
        <v>19</v>
      </c>
      <c r="F270" s="18" t="s">
        <v>30</v>
      </c>
      <c r="G270" s="21">
        <v>1326.42</v>
      </c>
    </row>
    <row r="271" spans="2:7" x14ac:dyDescent="0.25">
      <c r="B271" s="19">
        <v>41453</v>
      </c>
      <c r="C271" s="20">
        <v>2</v>
      </c>
      <c r="D271" s="18" t="s">
        <v>8</v>
      </c>
      <c r="E271" s="18" t="s">
        <v>23</v>
      </c>
      <c r="F271" s="18" t="s">
        <v>33</v>
      </c>
      <c r="G271" s="21">
        <v>2713.56</v>
      </c>
    </row>
    <row r="272" spans="2:7" x14ac:dyDescent="0.25">
      <c r="B272" s="19">
        <v>41362</v>
      </c>
      <c r="C272" s="20">
        <v>1</v>
      </c>
      <c r="D272" s="18" t="s">
        <v>9</v>
      </c>
      <c r="E272" s="18" t="s">
        <v>26</v>
      </c>
      <c r="F272" s="18" t="s">
        <v>22</v>
      </c>
      <c r="G272" s="21">
        <v>1278.56</v>
      </c>
    </row>
    <row r="273" spans="2:7" x14ac:dyDescent="0.25">
      <c r="B273" s="19">
        <v>41784</v>
      </c>
      <c r="C273" s="20">
        <v>2</v>
      </c>
      <c r="D273" s="18" t="s">
        <v>10</v>
      </c>
      <c r="E273" s="18" t="s">
        <v>28</v>
      </c>
      <c r="F273" s="18" t="s">
        <v>30</v>
      </c>
      <c r="G273" s="21">
        <v>692.23</v>
      </c>
    </row>
    <row r="274" spans="2:7" x14ac:dyDescent="0.25">
      <c r="B274" s="19">
        <v>41483</v>
      </c>
      <c r="C274" s="20">
        <v>3</v>
      </c>
      <c r="D274" s="18" t="s">
        <v>11</v>
      </c>
      <c r="E274" s="18" t="s">
        <v>23</v>
      </c>
      <c r="F274" s="18" t="s">
        <v>24</v>
      </c>
      <c r="G274" s="21">
        <v>1010.08</v>
      </c>
    </row>
    <row r="275" spans="2:7" x14ac:dyDescent="0.25">
      <c r="B275" s="19">
        <v>41445</v>
      </c>
      <c r="C275" s="20">
        <v>2</v>
      </c>
      <c r="D275" s="18" t="s">
        <v>21</v>
      </c>
      <c r="E275" s="18" t="s">
        <v>19</v>
      </c>
      <c r="F275" s="18" t="s">
        <v>27</v>
      </c>
      <c r="G275" s="21">
        <v>171.35</v>
      </c>
    </row>
    <row r="276" spans="2:7" x14ac:dyDescent="0.25">
      <c r="B276" s="19">
        <v>41708</v>
      </c>
      <c r="C276" s="20">
        <v>1</v>
      </c>
      <c r="D276" s="18" t="s">
        <v>10</v>
      </c>
      <c r="E276" s="18" t="s">
        <v>28</v>
      </c>
      <c r="F276" s="18" t="s">
        <v>24</v>
      </c>
      <c r="G276" s="21">
        <v>1613.39</v>
      </c>
    </row>
    <row r="277" spans="2:7" x14ac:dyDescent="0.25">
      <c r="B277" s="19">
        <v>41433</v>
      </c>
      <c r="C277" s="20">
        <v>2</v>
      </c>
      <c r="D277" s="18" t="s">
        <v>18</v>
      </c>
      <c r="E277" s="18" t="s">
        <v>19</v>
      </c>
      <c r="F277" s="18" t="s">
        <v>20</v>
      </c>
      <c r="G277" s="21">
        <v>139.28</v>
      </c>
    </row>
    <row r="278" spans="2:7" x14ac:dyDescent="0.25">
      <c r="B278" s="19">
        <v>41594</v>
      </c>
      <c r="C278" s="20">
        <v>4</v>
      </c>
      <c r="D278" s="18" t="s">
        <v>25</v>
      </c>
      <c r="E278" s="18" t="s">
        <v>26</v>
      </c>
      <c r="F278" s="18" t="s">
        <v>29</v>
      </c>
      <c r="G278" s="21">
        <v>1579.3</v>
      </c>
    </row>
    <row r="279" spans="2:7" x14ac:dyDescent="0.25">
      <c r="B279" s="19">
        <v>41693</v>
      </c>
      <c r="C279" s="20">
        <v>1</v>
      </c>
      <c r="D279" s="18" t="s">
        <v>31</v>
      </c>
      <c r="E279" s="18" t="s">
        <v>28</v>
      </c>
      <c r="F279" s="18" t="s">
        <v>27</v>
      </c>
      <c r="G279" s="21">
        <v>1154.1600000000001</v>
      </c>
    </row>
    <row r="280" spans="2:7" x14ac:dyDescent="0.25">
      <c r="B280" s="19">
        <v>41367</v>
      </c>
      <c r="C280" s="20">
        <v>2</v>
      </c>
      <c r="D280" s="18" t="s">
        <v>31</v>
      </c>
      <c r="E280" s="18" t="s">
        <v>28</v>
      </c>
      <c r="F280" s="18" t="s">
        <v>33</v>
      </c>
      <c r="G280" s="21">
        <v>1570.37</v>
      </c>
    </row>
    <row r="281" spans="2:7" x14ac:dyDescent="0.25">
      <c r="B281" s="19">
        <v>41735</v>
      </c>
      <c r="C281" s="20">
        <v>2</v>
      </c>
      <c r="D281" s="18" t="s">
        <v>31</v>
      </c>
      <c r="E281" s="18" t="s">
        <v>28</v>
      </c>
      <c r="F281" s="18" t="s">
        <v>29</v>
      </c>
      <c r="G281" s="21">
        <v>3791.92</v>
      </c>
    </row>
    <row r="282" spans="2:7" x14ac:dyDescent="0.25">
      <c r="B282" s="19">
        <v>41474</v>
      </c>
      <c r="C282" s="20">
        <v>3</v>
      </c>
      <c r="D282" s="18" t="s">
        <v>8</v>
      </c>
      <c r="E282" s="18" t="s">
        <v>23</v>
      </c>
      <c r="F282" s="18" t="s">
        <v>33</v>
      </c>
      <c r="G282" s="21">
        <v>1727</v>
      </c>
    </row>
    <row r="283" spans="2:7" x14ac:dyDescent="0.25">
      <c r="B283" s="19">
        <v>41716</v>
      </c>
      <c r="C283" s="20">
        <v>1</v>
      </c>
      <c r="D283" s="18" t="s">
        <v>11</v>
      </c>
      <c r="E283" s="18" t="s">
        <v>23</v>
      </c>
      <c r="F283" s="18" t="s">
        <v>24</v>
      </c>
      <c r="G283" s="21">
        <v>1341.74</v>
      </c>
    </row>
    <row r="284" spans="2:7" x14ac:dyDescent="0.25">
      <c r="B284" s="19">
        <v>41841</v>
      </c>
      <c r="C284" s="20">
        <v>3</v>
      </c>
      <c r="D284" s="18" t="s">
        <v>11</v>
      </c>
      <c r="E284" s="18" t="s">
        <v>23</v>
      </c>
      <c r="F284" s="18" t="s">
        <v>33</v>
      </c>
      <c r="G284" s="21">
        <v>632.52</v>
      </c>
    </row>
    <row r="285" spans="2:7" x14ac:dyDescent="0.25">
      <c r="B285" s="19">
        <v>41347</v>
      </c>
      <c r="C285" s="20">
        <v>1</v>
      </c>
      <c r="D285" s="18" t="s">
        <v>31</v>
      </c>
      <c r="E285" s="18" t="s">
        <v>28</v>
      </c>
      <c r="F285" s="18" t="s">
        <v>33</v>
      </c>
      <c r="G285" s="21">
        <v>2148.36</v>
      </c>
    </row>
    <row r="286" spans="2:7" x14ac:dyDescent="0.25">
      <c r="B286" s="19">
        <v>41599</v>
      </c>
      <c r="C286" s="20">
        <v>4</v>
      </c>
      <c r="D286" s="18" t="s">
        <v>31</v>
      </c>
      <c r="E286" s="18" t="s">
        <v>28</v>
      </c>
      <c r="F286" s="18" t="s">
        <v>20</v>
      </c>
      <c r="G286" s="21">
        <v>92.36</v>
      </c>
    </row>
    <row r="287" spans="2:7" x14ac:dyDescent="0.25">
      <c r="B287" s="19">
        <v>41696</v>
      </c>
      <c r="C287" s="20">
        <v>1</v>
      </c>
      <c r="D287" s="18" t="s">
        <v>21</v>
      </c>
      <c r="E287" s="18" t="s">
        <v>19</v>
      </c>
      <c r="F287" s="18" t="s">
        <v>24</v>
      </c>
      <c r="G287" s="21">
        <v>1768.59</v>
      </c>
    </row>
    <row r="288" spans="2:7" x14ac:dyDescent="0.25">
      <c r="B288" s="19">
        <v>41952</v>
      </c>
      <c r="C288" s="20">
        <v>4</v>
      </c>
      <c r="D288" s="18" t="s">
        <v>25</v>
      </c>
      <c r="E288" s="18" t="s">
        <v>26</v>
      </c>
      <c r="F288" s="18" t="s">
        <v>24</v>
      </c>
      <c r="G288" s="21">
        <v>953.25</v>
      </c>
    </row>
    <row r="289" spans="2:7" x14ac:dyDescent="0.25">
      <c r="B289" s="19">
        <v>41788</v>
      </c>
      <c r="C289" s="20">
        <v>2</v>
      </c>
      <c r="D289" s="18" t="s">
        <v>8</v>
      </c>
      <c r="E289" s="18" t="s">
        <v>23</v>
      </c>
      <c r="F289" s="18" t="s">
        <v>27</v>
      </c>
      <c r="G289" s="21">
        <v>330.29</v>
      </c>
    </row>
    <row r="290" spans="2:7" x14ac:dyDescent="0.25">
      <c r="B290" s="19">
        <v>41636</v>
      </c>
      <c r="C290" s="20">
        <v>4</v>
      </c>
      <c r="D290" s="18" t="s">
        <v>9</v>
      </c>
      <c r="E290" s="18" t="s">
        <v>26</v>
      </c>
      <c r="F290" s="18" t="s">
        <v>27</v>
      </c>
      <c r="G290" s="21">
        <v>1303.93</v>
      </c>
    </row>
    <row r="291" spans="2:7" x14ac:dyDescent="0.25">
      <c r="B291" s="19">
        <v>41977</v>
      </c>
      <c r="C291" s="20">
        <v>4</v>
      </c>
      <c r="D291" s="18" t="s">
        <v>8</v>
      </c>
      <c r="E291" s="18" t="s">
        <v>23</v>
      </c>
      <c r="F291" s="18" t="s">
        <v>32</v>
      </c>
      <c r="G291" s="21">
        <v>1995.38</v>
      </c>
    </row>
    <row r="292" spans="2:7" x14ac:dyDescent="0.25">
      <c r="B292" s="19">
        <v>41777</v>
      </c>
      <c r="C292" s="20">
        <v>2</v>
      </c>
      <c r="D292" s="18" t="s">
        <v>25</v>
      </c>
      <c r="E292" s="18" t="s">
        <v>26</v>
      </c>
      <c r="F292" s="18" t="s">
        <v>24</v>
      </c>
      <c r="G292" s="21">
        <v>831.83</v>
      </c>
    </row>
    <row r="293" spans="2:7" x14ac:dyDescent="0.25">
      <c r="B293" s="19">
        <v>41785</v>
      </c>
      <c r="C293" s="20">
        <v>2</v>
      </c>
      <c r="D293" s="18" t="s">
        <v>25</v>
      </c>
      <c r="E293" s="18" t="s">
        <v>26</v>
      </c>
      <c r="F293" s="18" t="s">
        <v>29</v>
      </c>
      <c r="G293" s="21">
        <v>1135.7</v>
      </c>
    </row>
    <row r="294" spans="2:7" x14ac:dyDescent="0.25">
      <c r="B294" s="19">
        <v>41904</v>
      </c>
      <c r="C294" s="20">
        <v>3</v>
      </c>
      <c r="D294" s="18" t="s">
        <v>11</v>
      </c>
      <c r="E294" s="18" t="s">
        <v>23</v>
      </c>
      <c r="F294" s="18" t="s">
        <v>20</v>
      </c>
      <c r="G294" s="21">
        <v>456.36</v>
      </c>
    </row>
    <row r="295" spans="2:7" x14ac:dyDescent="0.25">
      <c r="B295" s="19">
        <v>41695</v>
      </c>
      <c r="C295" s="20">
        <v>1</v>
      </c>
      <c r="D295" s="18" t="s">
        <v>25</v>
      </c>
      <c r="E295" s="18" t="s">
        <v>26</v>
      </c>
      <c r="F295" s="18" t="s">
        <v>33</v>
      </c>
      <c r="G295" s="21">
        <v>2242.37</v>
      </c>
    </row>
    <row r="296" spans="2:7" x14ac:dyDescent="0.25">
      <c r="B296" s="19">
        <v>41460</v>
      </c>
      <c r="C296" s="20">
        <v>3</v>
      </c>
      <c r="D296" s="18" t="s">
        <v>31</v>
      </c>
      <c r="E296" s="18" t="s">
        <v>28</v>
      </c>
      <c r="F296" s="18" t="s">
        <v>29</v>
      </c>
      <c r="G296" s="21">
        <v>3881.88</v>
      </c>
    </row>
    <row r="297" spans="2:7" x14ac:dyDescent="0.25">
      <c r="B297" s="19">
        <v>41845</v>
      </c>
      <c r="C297" s="20">
        <v>3</v>
      </c>
      <c r="D297" s="18" t="s">
        <v>11</v>
      </c>
      <c r="E297" s="18" t="s">
        <v>23</v>
      </c>
      <c r="F297" s="18" t="s">
        <v>32</v>
      </c>
      <c r="G297" s="21">
        <v>217.5</v>
      </c>
    </row>
    <row r="298" spans="2:7" x14ac:dyDescent="0.25">
      <c r="B298" s="19">
        <v>41423</v>
      </c>
      <c r="C298" s="20">
        <v>2</v>
      </c>
      <c r="D298" s="18" t="s">
        <v>8</v>
      </c>
      <c r="E298" s="18" t="s">
        <v>23</v>
      </c>
      <c r="F298" s="18" t="s">
        <v>33</v>
      </c>
      <c r="G298" s="21">
        <v>1553.6</v>
      </c>
    </row>
    <row r="299" spans="2:7" x14ac:dyDescent="0.25">
      <c r="B299" s="19">
        <v>41380</v>
      </c>
      <c r="C299" s="20">
        <v>2</v>
      </c>
      <c r="D299" s="18" t="s">
        <v>18</v>
      </c>
      <c r="E299" s="18" t="s">
        <v>19</v>
      </c>
      <c r="F299" s="18" t="s">
        <v>29</v>
      </c>
      <c r="G299" s="21">
        <v>2048.06</v>
      </c>
    </row>
    <row r="300" spans="2:7" x14ac:dyDescent="0.25">
      <c r="B300" s="19">
        <v>41476</v>
      </c>
      <c r="C300" s="20">
        <v>3</v>
      </c>
      <c r="D300" s="18" t="s">
        <v>11</v>
      </c>
      <c r="E300" s="18" t="s">
        <v>23</v>
      </c>
      <c r="F300" s="18" t="s">
        <v>33</v>
      </c>
      <c r="G300" s="21">
        <v>1623.8</v>
      </c>
    </row>
    <row r="301" spans="2:7" x14ac:dyDescent="0.25">
      <c r="B301" s="19">
        <v>41603</v>
      </c>
      <c r="C301" s="20">
        <v>4</v>
      </c>
      <c r="D301" s="18" t="s">
        <v>10</v>
      </c>
      <c r="E301" s="18" t="s">
        <v>28</v>
      </c>
      <c r="F301" s="18" t="s">
        <v>29</v>
      </c>
      <c r="G301" s="21">
        <v>3161.46</v>
      </c>
    </row>
    <row r="302" spans="2:7" x14ac:dyDescent="0.25">
      <c r="B302" s="19">
        <v>41539</v>
      </c>
      <c r="C302" s="20">
        <v>3</v>
      </c>
      <c r="D302" s="18" t="s">
        <v>10</v>
      </c>
      <c r="E302" s="18" t="s">
        <v>28</v>
      </c>
      <c r="F302" s="18" t="s">
        <v>24</v>
      </c>
      <c r="G302" s="21">
        <v>1692.95</v>
      </c>
    </row>
    <row r="303" spans="2:7" x14ac:dyDescent="0.25">
      <c r="B303" s="19">
        <v>41904</v>
      </c>
      <c r="C303" s="20">
        <v>3</v>
      </c>
      <c r="D303" s="18" t="s">
        <v>11</v>
      </c>
      <c r="E303" s="18" t="s">
        <v>23</v>
      </c>
      <c r="F303" s="18" t="s">
        <v>22</v>
      </c>
      <c r="G303" s="21">
        <v>101.85</v>
      </c>
    </row>
    <row r="304" spans="2:7" x14ac:dyDescent="0.25">
      <c r="B304" s="19">
        <v>41817</v>
      </c>
      <c r="C304" s="20">
        <v>2</v>
      </c>
      <c r="D304" s="18" t="s">
        <v>8</v>
      </c>
      <c r="E304" s="18" t="s">
        <v>23</v>
      </c>
      <c r="F304" s="18" t="s">
        <v>29</v>
      </c>
      <c r="G304" s="21">
        <v>361.9</v>
      </c>
    </row>
    <row r="305" spans="2:7" x14ac:dyDescent="0.25">
      <c r="B305" s="19">
        <v>41471</v>
      </c>
      <c r="C305" s="20">
        <v>3</v>
      </c>
      <c r="D305" s="18" t="s">
        <v>21</v>
      </c>
      <c r="E305" s="18" t="s">
        <v>19</v>
      </c>
      <c r="F305" s="18" t="s">
        <v>27</v>
      </c>
      <c r="G305" s="21">
        <v>1371.89</v>
      </c>
    </row>
    <row r="306" spans="2:7" x14ac:dyDescent="0.25">
      <c r="B306" s="19">
        <v>41566</v>
      </c>
      <c r="C306" s="20">
        <v>4</v>
      </c>
      <c r="D306" s="18" t="s">
        <v>18</v>
      </c>
      <c r="E306" s="18" t="s">
        <v>19</v>
      </c>
      <c r="F306" s="18" t="s">
        <v>33</v>
      </c>
      <c r="G306" s="21">
        <v>302.83999999999997</v>
      </c>
    </row>
    <row r="307" spans="2:7" x14ac:dyDescent="0.25">
      <c r="B307" s="19">
        <v>41444</v>
      </c>
      <c r="C307" s="20">
        <v>2</v>
      </c>
      <c r="D307" s="18" t="s">
        <v>8</v>
      </c>
      <c r="E307" s="18" t="s">
        <v>23</v>
      </c>
      <c r="F307" s="18" t="s">
        <v>24</v>
      </c>
      <c r="G307" s="21">
        <v>1322.41</v>
      </c>
    </row>
    <row r="308" spans="2:7" x14ac:dyDescent="0.25">
      <c r="B308" s="19">
        <v>41655</v>
      </c>
      <c r="C308" s="20">
        <v>1</v>
      </c>
      <c r="D308" s="18" t="s">
        <v>10</v>
      </c>
      <c r="E308" s="18" t="s">
        <v>28</v>
      </c>
      <c r="F308" s="18" t="s">
        <v>29</v>
      </c>
      <c r="G308" s="21">
        <v>513.86</v>
      </c>
    </row>
    <row r="309" spans="2:7" x14ac:dyDescent="0.25">
      <c r="B309" s="19">
        <v>41383</v>
      </c>
      <c r="C309" s="20">
        <v>2</v>
      </c>
      <c r="D309" s="18" t="s">
        <v>21</v>
      </c>
      <c r="E309" s="18" t="s">
        <v>19</v>
      </c>
      <c r="F309" s="18" t="s">
        <v>30</v>
      </c>
      <c r="G309" s="21">
        <v>770.27</v>
      </c>
    </row>
    <row r="310" spans="2:7" x14ac:dyDescent="0.25">
      <c r="B310" s="19">
        <v>41812</v>
      </c>
      <c r="C310" s="20">
        <v>2</v>
      </c>
      <c r="D310" s="18" t="s">
        <v>31</v>
      </c>
      <c r="E310" s="18" t="s">
        <v>28</v>
      </c>
      <c r="F310" s="18" t="s">
        <v>27</v>
      </c>
      <c r="G310" s="21">
        <v>222.12</v>
      </c>
    </row>
    <row r="311" spans="2:7" x14ac:dyDescent="0.25">
      <c r="B311" s="19">
        <v>41629</v>
      </c>
      <c r="C311" s="20">
        <v>4</v>
      </c>
      <c r="D311" s="18" t="s">
        <v>9</v>
      </c>
      <c r="E311" s="18" t="s">
        <v>26</v>
      </c>
      <c r="F311" s="18" t="s">
        <v>27</v>
      </c>
      <c r="G311" s="21">
        <v>457.64</v>
      </c>
    </row>
    <row r="312" spans="2:7" x14ac:dyDescent="0.25">
      <c r="B312" s="19">
        <v>41377</v>
      </c>
      <c r="C312" s="20">
        <v>2</v>
      </c>
      <c r="D312" s="18" t="s">
        <v>25</v>
      </c>
      <c r="E312" s="18" t="s">
        <v>26</v>
      </c>
      <c r="F312" s="18" t="s">
        <v>29</v>
      </c>
      <c r="G312" s="21">
        <v>1804.28</v>
      </c>
    </row>
    <row r="313" spans="2:7" x14ac:dyDescent="0.25">
      <c r="B313" s="19">
        <v>41710</v>
      </c>
      <c r="C313" s="20">
        <v>1</v>
      </c>
      <c r="D313" s="18" t="s">
        <v>10</v>
      </c>
      <c r="E313" s="18" t="s">
        <v>28</v>
      </c>
      <c r="F313" s="18" t="s">
        <v>27</v>
      </c>
      <c r="G313" s="21">
        <v>760.86</v>
      </c>
    </row>
    <row r="314" spans="2:7" x14ac:dyDescent="0.25">
      <c r="B314" s="19">
        <v>41999</v>
      </c>
      <c r="C314" s="20">
        <v>4</v>
      </c>
      <c r="D314" s="18" t="s">
        <v>25</v>
      </c>
      <c r="E314" s="18" t="s">
        <v>26</v>
      </c>
      <c r="F314" s="18" t="s">
        <v>20</v>
      </c>
      <c r="G314" s="21">
        <v>159.04</v>
      </c>
    </row>
    <row r="315" spans="2:7" x14ac:dyDescent="0.25">
      <c r="B315" s="19">
        <v>41412</v>
      </c>
      <c r="C315" s="20">
        <v>2</v>
      </c>
      <c r="D315" s="18" t="s">
        <v>18</v>
      </c>
      <c r="E315" s="18" t="s">
        <v>19</v>
      </c>
      <c r="F315" s="18" t="s">
        <v>24</v>
      </c>
      <c r="G315" s="21">
        <v>1845.16</v>
      </c>
    </row>
    <row r="316" spans="2:7" x14ac:dyDescent="0.25">
      <c r="B316" s="19">
        <v>41275</v>
      </c>
      <c r="C316" s="20">
        <v>1</v>
      </c>
      <c r="D316" s="18" t="s">
        <v>10</v>
      </c>
      <c r="E316" s="18" t="s">
        <v>28</v>
      </c>
      <c r="F316" s="18" t="s">
        <v>27</v>
      </c>
      <c r="G316" s="21">
        <v>573.25</v>
      </c>
    </row>
    <row r="317" spans="2:7" x14ac:dyDescent="0.25">
      <c r="B317" s="19">
        <v>41318</v>
      </c>
      <c r="C317" s="20">
        <v>1</v>
      </c>
      <c r="D317" s="18" t="s">
        <v>8</v>
      </c>
      <c r="E317" s="18" t="s">
        <v>23</v>
      </c>
      <c r="F317" s="18" t="s">
        <v>32</v>
      </c>
      <c r="G317" s="21">
        <v>423.24</v>
      </c>
    </row>
    <row r="318" spans="2:7" x14ac:dyDescent="0.25">
      <c r="B318" s="19">
        <v>41886</v>
      </c>
      <c r="C318" s="20">
        <v>3</v>
      </c>
      <c r="D318" s="18" t="s">
        <v>18</v>
      </c>
      <c r="E318" s="18" t="s">
        <v>19</v>
      </c>
      <c r="F318" s="18" t="s">
        <v>32</v>
      </c>
      <c r="G318" s="21">
        <v>897.61</v>
      </c>
    </row>
    <row r="319" spans="2:7" x14ac:dyDescent="0.25">
      <c r="B319" s="19">
        <v>41557</v>
      </c>
      <c r="C319" s="20">
        <v>4</v>
      </c>
      <c r="D319" s="18" t="s">
        <v>9</v>
      </c>
      <c r="E319" s="18" t="s">
        <v>26</v>
      </c>
      <c r="F319" s="18" t="s">
        <v>22</v>
      </c>
      <c r="G319" s="21">
        <v>1234.96</v>
      </c>
    </row>
    <row r="320" spans="2:7" x14ac:dyDescent="0.25">
      <c r="B320" s="19">
        <v>41670</v>
      </c>
      <c r="C320" s="20">
        <v>1</v>
      </c>
      <c r="D320" s="18" t="s">
        <v>8</v>
      </c>
      <c r="E320" s="18" t="s">
        <v>23</v>
      </c>
      <c r="F320" s="18" t="s">
        <v>24</v>
      </c>
      <c r="G320" s="21">
        <v>213.64</v>
      </c>
    </row>
    <row r="321" spans="2:7" x14ac:dyDescent="0.25">
      <c r="B321" s="19">
        <v>41329</v>
      </c>
      <c r="C321" s="20">
        <v>1</v>
      </c>
      <c r="D321" s="18" t="s">
        <v>11</v>
      </c>
      <c r="E321" s="18" t="s">
        <v>23</v>
      </c>
      <c r="F321" s="18" t="s">
        <v>30</v>
      </c>
      <c r="G321" s="21">
        <v>664.56</v>
      </c>
    </row>
    <row r="322" spans="2:7" x14ac:dyDescent="0.25">
      <c r="B322" s="19">
        <v>41921</v>
      </c>
      <c r="C322" s="20">
        <v>4</v>
      </c>
      <c r="D322" s="18" t="s">
        <v>8</v>
      </c>
      <c r="E322" s="18" t="s">
        <v>23</v>
      </c>
      <c r="F322" s="18" t="s">
        <v>22</v>
      </c>
      <c r="G322" s="21">
        <v>1682.92</v>
      </c>
    </row>
    <row r="323" spans="2:7" x14ac:dyDescent="0.25">
      <c r="B323" s="19">
        <v>41754</v>
      </c>
      <c r="C323" s="20">
        <v>2</v>
      </c>
      <c r="D323" s="18" t="s">
        <v>11</v>
      </c>
      <c r="E323" s="18" t="s">
        <v>23</v>
      </c>
      <c r="F323" s="18" t="s">
        <v>30</v>
      </c>
      <c r="G323" s="21">
        <v>535.4</v>
      </c>
    </row>
    <row r="324" spans="2:7" x14ac:dyDescent="0.25">
      <c r="B324" s="19">
        <v>41704</v>
      </c>
      <c r="C324" s="20">
        <v>1</v>
      </c>
      <c r="D324" s="18" t="s">
        <v>25</v>
      </c>
      <c r="E324" s="18" t="s">
        <v>26</v>
      </c>
      <c r="F324" s="18" t="s">
        <v>22</v>
      </c>
      <c r="G324" s="21">
        <v>318.37</v>
      </c>
    </row>
    <row r="325" spans="2:7" x14ac:dyDescent="0.25">
      <c r="B325" s="19">
        <v>41355</v>
      </c>
      <c r="C325" s="20">
        <v>1</v>
      </c>
      <c r="D325" s="18" t="s">
        <v>31</v>
      </c>
      <c r="E325" s="18" t="s">
        <v>28</v>
      </c>
      <c r="F325" s="18" t="s">
        <v>33</v>
      </c>
      <c r="G325" s="21">
        <v>1639.19</v>
      </c>
    </row>
    <row r="326" spans="2:7" x14ac:dyDescent="0.25">
      <c r="B326" s="19">
        <v>41857</v>
      </c>
      <c r="C326" s="20">
        <v>3</v>
      </c>
      <c r="D326" s="18" t="s">
        <v>10</v>
      </c>
      <c r="E326" s="18" t="s">
        <v>28</v>
      </c>
      <c r="F326" s="18" t="s">
        <v>30</v>
      </c>
      <c r="G326" s="21">
        <v>2911.58</v>
      </c>
    </row>
    <row r="327" spans="2:7" x14ac:dyDescent="0.25">
      <c r="B327" s="19">
        <v>41982</v>
      </c>
      <c r="C327" s="20">
        <v>4</v>
      </c>
      <c r="D327" s="18" t="s">
        <v>9</v>
      </c>
      <c r="E327" s="18" t="s">
        <v>26</v>
      </c>
      <c r="F327" s="18" t="s">
        <v>24</v>
      </c>
      <c r="G327" s="21">
        <v>1249.6600000000001</v>
      </c>
    </row>
    <row r="328" spans="2:7" x14ac:dyDescent="0.25">
      <c r="B328" s="19">
        <v>41633</v>
      </c>
      <c r="C328" s="20">
        <v>4</v>
      </c>
      <c r="D328" s="18" t="s">
        <v>31</v>
      </c>
      <c r="E328" s="18" t="s">
        <v>28</v>
      </c>
      <c r="F328" s="18" t="s">
        <v>29</v>
      </c>
      <c r="G328" s="21">
        <v>3277.14</v>
      </c>
    </row>
    <row r="329" spans="2:7" x14ac:dyDescent="0.25">
      <c r="B329" s="19">
        <v>41448</v>
      </c>
      <c r="C329" s="20">
        <v>2</v>
      </c>
      <c r="D329" s="18" t="s">
        <v>10</v>
      </c>
      <c r="E329" s="18" t="s">
        <v>28</v>
      </c>
      <c r="F329" s="18" t="s">
        <v>22</v>
      </c>
      <c r="G329" s="21">
        <v>1176.2</v>
      </c>
    </row>
    <row r="330" spans="2:7" x14ac:dyDescent="0.25">
      <c r="B330" s="19">
        <v>41360</v>
      </c>
      <c r="C330" s="20">
        <v>1</v>
      </c>
      <c r="D330" s="18" t="s">
        <v>9</v>
      </c>
      <c r="E330" s="18" t="s">
        <v>26</v>
      </c>
      <c r="F330" s="18" t="s">
        <v>27</v>
      </c>
      <c r="G330" s="21">
        <v>1839.51</v>
      </c>
    </row>
    <row r="331" spans="2:7" x14ac:dyDescent="0.25">
      <c r="B331" s="19">
        <v>41829</v>
      </c>
      <c r="C331" s="20">
        <v>3</v>
      </c>
      <c r="D331" s="18" t="s">
        <v>31</v>
      </c>
      <c r="E331" s="18" t="s">
        <v>28</v>
      </c>
      <c r="F331" s="18" t="s">
        <v>20</v>
      </c>
      <c r="G331" s="21">
        <v>557.04</v>
      </c>
    </row>
    <row r="332" spans="2:7" x14ac:dyDescent="0.25">
      <c r="B332" s="19">
        <v>41860</v>
      </c>
      <c r="C332" s="20">
        <v>3</v>
      </c>
      <c r="D332" s="18" t="s">
        <v>25</v>
      </c>
      <c r="E332" s="18" t="s">
        <v>26</v>
      </c>
      <c r="F332" s="18" t="s">
        <v>32</v>
      </c>
      <c r="G332" s="21">
        <v>1444.71</v>
      </c>
    </row>
    <row r="333" spans="2:7" x14ac:dyDescent="0.25">
      <c r="B333" s="19">
        <v>41660</v>
      </c>
      <c r="C333" s="20">
        <v>1</v>
      </c>
      <c r="D333" s="18" t="s">
        <v>31</v>
      </c>
      <c r="E333" s="18" t="s">
        <v>28</v>
      </c>
      <c r="F333" s="18" t="s">
        <v>20</v>
      </c>
      <c r="G333" s="21">
        <v>231.78</v>
      </c>
    </row>
    <row r="334" spans="2:7" x14ac:dyDescent="0.25">
      <c r="B334" s="19">
        <v>41734</v>
      </c>
      <c r="C334" s="20">
        <v>2</v>
      </c>
      <c r="D334" s="18" t="s">
        <v>31</v>
      </c>
      <c r="E334" s="18" t="s">
        <v>28</v>
      </c>
      <c r="F334" s="18" t="s">
        <v>33</v>
      </c>
      <c r="G334" s="21">
        <v>621.99</v>
      </c>
    </row>
    <row r="335" spans="2:7" x14ac:dyDescent="0.25">
      <c r="B335" s="19">
        <v>41903</v>
      </c>
      <c r="C335" s="20">
        <v>3</v>
      </c>
      <c r="D335" s="18" t="s">
        <v>10</v>
      </c>
      <c r="E335" s="18" t="s">
        <v>28</v>
      </c>
      <c r="F335" s="18" t="s">
        <v>33</v>
      </c>
      <c r="G335" s="21">
        <v>1618.37</v>
      </c>
    </row>
    <row r="336" spans="2:7" x14ac:dyDescent="0.25">
      <c r="B336" s="19">
        <v>41955</v>
      </c>
      <c r="C336" s="20">
        <v>4</v>
      </c>
      <c r="D336" s="18" t="s">
        <v>18</v>
      </c>
      <c r="E336" s="18" t="s">
        <v>19</v>
      </c>
      <c r="F336" s="18" t="s">
        <v>32</v>
      </c>
      <c r="G336" s="21">
        <v>1676.33</v>
      </c>
    </row>
    <row r="337" spans="2:7" x14ac:dyDescent="0.25">
      <c r="B337" s="19">
        <v>41295</v>
      </c>
      <c r="C337" s="20">
        <v>1</v>
      </c>
      <c r="D337" s="18" t="s">
        <v>18</v>
      </c>
      <c r="E337" s="18" t="s">
        <v>19</v>
      </c>
      <c r="F337" s="18" t="s">
        <v>27</v>
      </c>
      <c r="G337" s="21">
        <v>374.51</v>
      </c>
    </row>
    <row r="338" spans="2:7" x14ac:dyDescent="0.25">
      <c r="B338" s="19">
        <v>41431</v>
      </c>
      <c r="C338" s="20">
        <v>2</v>
      </c>
      <c r="D338" s="18" t="s">
        <v>21</v>
      </c>
      <c r="E338" s="18" t="s">
        <v>19</v>
      </c>
      <c r="F338" s="18" t="s">
        <v>33</v>
      </c>
      <c r="G338" s="21">
        <v>519.15</v>
      </c>
    </row>
    <row r="339" spans="2:7" x14ac:dyDescent="0.25">
      <c r="B339" s="19">
        <v>41513</v>
      </c>
      <c r="C339" s="20">
        <v>3</v>
      </c>
      <c r="D339" s="18" t="s">
        <v>18</v>
      </c>
      <c r="E339" s="18" t="s">
        <v>19</v>
      </c>
      <c r="F339" s="18" t="s">
        <v>29</v>
      </c>
      <c r="G339" s="21">
        <v>2909.54</v>
      </c>
    </row>
    <row r="340" spans="2:7" x14ac:dyDescent="0.25">
      <c r="B340" s="19">
        <v>41462</v>
      </c>
      <c r="C340" s="20">
        <v>3</v>
      </c>
      <c r="D340" s="18" t="s">
        <v>31</v>
      </c>
      <c r="E340" s="18" t="s">
        <v>28</v>
      </c>
      <c r="F340" s="18" t="s">
        <v>29</v>
      </c>
      <c r="G340" s="21">
        <v>2566.54</v>
      </c>
    </row>
    <row r="341" spans="2:7" x14ac:dyDescent="0.25">
      <c r="B341" s="19">
        <v>41581</v>
      </c>
      <c r="C341" s="20">
        <v>4</v>
      </c>
      <c r="D341" s="18" t="s">
        <v>11</v>
      </c>
      <c r="E341" s="18" t="s">
        <v>23</v>
      </c>
      <c r="F341" s="18" t="s">
        <v>29</v>
      </c>
      <c r="G341" s="21">
        <v>1595.28</v>
      </c>
    </row>
    <row r="342" spans="2:7" x14ac:dyDescent="0.25">
      <c r="B342" s="19">
        <v>41437</v>
      </c>
      <c r="C342" s="20">
        <v>2</v>
      </c>
      <c r="D342" s="18" t="s">
        <v>8</v>
      </c>
      <c r="E342" s="18" t="s">
        <v>23</v>
      </c>
      <c r="F342" s="18" t="s">
        <v>33</v>
      </c>
      <c r="G342" s="21">
        <v>349.26</v>
      </c>
    </row>
    <row r="343" spans="2:7" x14ac:dyDescent="0.25">
      <c r="B343" s="19">
        <v>41949</v>
      </c>
      <c r="C343" s="20">
        <v>4</v>
      </c>
      <c r="D343" s="18" t="s">
        <v>9</v>
      </c>
      <c r="E343" s="18" t="s">
        <v>26</v>
      </c>
      <c r="F343" s="18" t="s">
        <v>24</v>
      </c>
      <c r="G343" s="21">
        <v>247.06</v>
      </c>
    </row>
    <row r="344" spans="2:7" x14ac:dyDescent="0.25">
      <c r="B344" s="19">
        <v>41833</v>
      </c>
      <c r="C344" s="20">
        <v>3</v>
      </c>
      <c r="D344" s="18" t="s">
        <v>18</v>
      </c>
      <c r="E344" s="18" t="s">
        <v>19</v>
      </c>
      <c r="F344" s="18" t="s">
        <v>30</v>
      </c>
      <c r="G344" s="21">
        <v>1164.03</v>
      </c>
    </row>
    <row r="345" spans="2:7" x14ac:dyDescent="0.25">
      <c r="B345" s="19">
        <v>41391</v>
      </c>
      <c r="C345" s="20">
        <v>2</v>
      </c>
      <c r="D345" s="18" t="s">
        <v>8</v>
      </c>
      <c r="E345" s="18" t="s">
        <v>23</v>
      </c>
      <c r="F345" s="18" t="s">
        <v>27</v>
      </c>
      <c r="G345" s="21">
        <v>688.79</v>
      </c>
    </row>
    <row r="346" spans="2:7" x14ac:dyDescent="0.25">
      <c r="B346" s="19">
        <v>41490</v>
      </c>
      <c r="C346" s="20">
        <v>3</v>
      </c>
      <c r="D346" s="18" t="s">
        <v>31</v>
      </c>
      <c r="E346" s="18" t="s">
        <v>28</v>
      </c>
      <c r="F346" s="18" t="s">
        <v>24</v>
      </c>
      <c r="G346" s="21">
        <v>230.87</v>
      </c>
    </row>
    <row r="347" spans="2:7" x14ac:dyDescent="0.25">
      <c r="B347" s="19">
        <v>41286</v>
      </c>
      <c r="C347" s="20">
        <v>1</v>
      </c>
      <c r="D347" s="18" t="s">
        <v>9</v>
      </c>
      <c r="E347" s="18" t="s">
        <v>26</v>
      </c>
      <c r="F347" s="18" t="s">
        <v>33</v>
      </c>
      <c r="G347" s="21">
        <v>2895.36</v>
      </c>
    </row>
    <row r="348" spans="2:7" x14ac:dyDescent="0.25">
      <c r="B348" s="19">
        <v>41946</v>
      </c>
      <c r="C348" s="20">
        <v>4</v>
      </c>
      <c r="D348" s="18" t="s">
        <v>25</v>
      </c>
      <c r="E348" s="18" t="s">
        <v>26</v>
      </c>
      <c r="F348" s="18" t="s">
        <v>32</v>
      </c>
      <c r="G348" s="21">
        <v>298.02999999999997</v>
      </c>
    </row>
    <row r="349" spans="2:7" x14ac:dyDescent="0.25">
      <c r="B349" s="19">
        <v>41602</v>
      </c>
      <c r="C349" s="20">
        <v>4</v>
      </c>
      <c r="D349" s="18" t="s">
        <v>11</v>
      </c>
      <c r="E349" s="18" t="s">
        <v>23</v>
      </c>
      <c r="F349" s="18" t="s">
        <v>30</v>
      </c>
      <c r="G349" s="21">
        <v>1536.63</v>
      </c>
    </row>
    <row r="350" spans="2:7" x14ac:dyDescent="0.25">
      <c r="B350" s="19">
        <v>41648</v>
      </c>
      <c r="C350" s="20">
        <v>1</v>
      </c>
      <c r="D350" s="18" t="s">
        <v>10</v>
      </c>
      <c r="E350" s="18" t="s">
        <v>28</v>
      </c>
      <c r="F350" s="18" t="s">
        <v>27</v>
      </c>
      <c r="G350" s="21">
        <v>1353.92</v>
      </c>
    </row>
    <row r="351" spans="2:7" x14ac:dyDescent="0.25">
      <c r="B351" s="19">
        <v>41480</v>
      </c>
      <c r="C351" s="20">
        <v>3</v>
      </c>
      <c r="D351" s="18" t="s">
        <v>8</v>
      </c>
      <c r="E351" s="18" t="s">
        <v>23</v>
      </c>
      <c r="F351" s="18" t="s">
        <v>33</v>
      </c>
      <c r="G351" s="21">
        <v>1759.11</v>
      </c>
    </row>
    <row r="352" spans="2:7" x14ac:dyDescent="0.25">
      <c r="B352" s="19">
        <v>41337</v>
      </c>
      <c r="C352" s="20">
        <v>1</v>
      </c>
      <c r="D352" s="18" t="s">
        <v>18</v>
      </c>
      <c r="E352" s="18" t="s">
        <v>19</v>
      </c>
      <c r="F352" s="18" t="s">
        <v>22</v>
      </c>
      <c r="G352" s="21">
        <v>624.54999999999995</v>
      </c>
    </row>
    <row r="353" spans="2:7" x14ac:dyDescent="0.25">
      <c r="B353" s="19">
        <v>41427</v>
      </c>
      <c r="C353" s="20">
        <v>2</v>
      </c>
      <c r="D353" s="18" t="s">
        <v>11</v>
      </c>
      <c r="E353" s="18" t="s">
        <v>23</v>
      </c>
      <c r="F353" s="18" t="s">
        <v>30</v>
      </c>
      <c r="G353" s="21">
        <v>640.22</v>
      </c>
    </row>
    <row r="354" spans="2:7" x14ac:dyDescent="0.25">
      <c r="B354" s="19">
        <v>41911</v>
      </c>
      <c r="C354" s="20">
        <v>3</v>
      </c>
      <c r="D354" s="18" t="s">
        <v>10</v>
      </c>
      <c r="E354" s="18" t="s">
        <v>28</v>
      </c>
      <c r="F354" s="18" t="s">
        <v>27</v>
      </c>
      <c r="G354" s="21">
        <v>583.41</v>
      </c>
    </row>
    <row r="355" spans="2:7" x14ac:dyDescent="0.25">
      <c r="B355" s="19">
        <v>41760</v>
      </c>
      <c r="C355" s="20">
        <v>2</v>
      </c>
      <c r="D355" s="18" t="s">
        <v>25</v>
      </c>
      <c r="E355" s="18" t="s">
        <v>26</v>
      </c>
      <c r="F355" s="18" t="s">
        <v>20</v>
      </c>
      <c r="G355" s="21">
        <v>330.12</v>
      </c>
    </row>
    <row r="356" spans="2:7" x14ac:dyDescent="0.25">
      <c r="B356" s="19">
        <v>41407</v>
      </c>
      <c r="C356" s="20">
        <v>2</v>
      </c>
      <c r="D356" s="18" t="s">
        <v>11</v>
      </c>
      <c r="E356" s="18" t="s">
        <v>23</v>
      </c>
      <c r="F356" s="18" t="s">
        <v>32</v>
      </c>
      <c r="G356" s="21">
        <v>815.84</v>
      </c>
    </row>
    <row r="357" spans="2:7" x14ac:dyDescent="0.25">
      <c r="B357" s="19">
        <v>41339</v>
      </c>
      <c r="C357" s="20">
        <v>1</v>
      </c>
      <c r="D357" s="18" t="s">
        <v>11</v>
      </c>
      <c r="E357" s="18" t="s">
        <v>23</v>
      </c>
      <c r="F357" s="18" t="s">
        <v>20</v>
      </c>
      <c r="G357" s="21">
        <v>146.80000000000001</v>
      </c>
    </row>
    <row r="358" spans="2:7" x14ac:dyDescent="0.25">
      <c r="B358" s="19">
        <v>41360</v>
      </c>
      <c r="C358" s="20">
        <v>1</v>
      </c>
      <c r="D358" s="18" t="s">
        <v>18</v>
      </c>
      <c r="E358" s="18" t="s">
        <v>19</v>
      </c>
      <c r="F358" s="18" t="s">
        <v>30</v>
      </c>
      <c r="G358" s="21">
        <v>2348.2399999999998</v>
      </c>
    </row>
    <row r="359" spans="2:7" x14ac:dyDescent="0.25">
      <c r="B359" s="19">
        <v>41366</v>
      </c>
      <c r="C359" s="20">
        <v>2</v>
      </c>
      <c r="D359" s="18" t="s">
        <v>10</v>
      </c>
      <c r="E359" s="18" t="s">
        <v>28</v>
      </c>
      <c r="F359" s="18" t="s">
        <v>33</v>
      </c>
      <c r="G359" s="21">
        <v>677.93</v>
      </c>
    </row>
    <row r="360" spans="2:7" x14ac:dyDescent="0.25">
      <c r="B360" s="19">
        <v>41634</v>
      </c>
      <c r="C360" s="20">
        <v>4</v>
      </c>
      <c r="D360" s="18" t="s">
        <v>8</v>
      </c>
      <c r="E360" s="18" t="s">
        <v>23</v>
      </c>
      <c r="F360" s="18" t="s">
        <v>30</v>
      </c>
      <c r="G360" s="21">
        <v>453.03</v>
      </c>
    </row>
    <row r="361" spans="2:7" x14ac:dyDescent="0.25">
      <c r="B361" s="19">
        <v>41729</v>
      </c>
      <c r="C361" s="20">
        <v>1</v>
      </c>
      <c r="D361" s="18" t="s">
        <v>11</v>
      </c>
      <c r="E361" s="18" t="s">
        <v>23</v>
      </c>
      <c r="F361" s="18" t="s">
        <v>27</v>
      </c>
      <c r="G361" s="21">
        <v>430.53</v>
      </c>
    </row>
    <row r="362" spans="2:7" x14ac:dyDescent="0.25">
      <c r="B362" s="19">
        <v>41471</v>
      </c>
      <c r="C362" s="20">
        <v>3</v>
      </c>
      <c r="D362" s="18" t="s">
        <v>21</v>
      </c>
      <c r="E362" s="18" t="s">
        <v>19</v>
      </c>
      <c r="F362" s="18" t="s">
        <v>22</v>
      </c>
      <c r="G362" s="21">
        <v>858.44</v>
      </c>
    </row>
    <row r="363" spans="2:7" x14ac:dyDescent="0.25">
      <c r="B363" s="19">
        <v>41422</v>
      </c>
      <c r="C363" s="20">
        <v>2</v>
      </c>
      <c r="D363" s="18" t="s">
        <v>21</v>
      </c>
      <c r="E363" s="18" t="s">
        <v>19</v>
      </c>
      <c r="F363" s="18" t="s">
        <v>29</v>
      </c>
      <c r="G363" s="21">
        <v>3721.68</v>
      </c>
    </row>
    <row r="364" spans="2:7" x14ac:dyDescent="0.25">
      <c r="B364" s="19">
        <v>41680</v>
      </c>
      <c r="C364" s="20">
        <v>1</v>
      </c>
      <c r="D364" s="18" t="s">
        <v>18</v>
      </c>
      <c r="E364" s="18" t="s">
        <v>19</v>
      </c>
      <c r="F364" s="18" t="s">
        <v>33</v>
      </c>
      <c r="G364" s="21">
        <v>1272.26</v>
      </c>
    </row>
    <row r="365" spans="2:7" x14ac:dyDescent="0.25">
      <c r="B365" s="19">
        <v>41964</v>
      </c>
      <c r="C365" s="20">
        <v>4</v>
      </c>
      <c r="D365" s="18" t="s">
        <v>9</v>
      </c>
      <c r="E365" s="18" t="s">
        <v>26</v>
      </c>
      <c r="F365" s="18" t="s">
        <v>30</v>
      </c>
      <c r="G365" s="21">
        <v>1228.44</v>
      </c>
    </row>
    <row r="366" spans="2:7" x14ac:dyDescent="0.25">
      <c r="B366" s="19">
        <v>41918</v>
      </c>
      <c r="C366" s="20">
        <v>4</v>
      </c>
      <c r="D366" s="18" t="s">
        <v>21</v>
      </c>
      <c r="E366" s="18" t="s">
        <v>19</v>
      </c>
      <c r="F366" s="18" t="s">
        <v>29</v>
      </c>
      <c r="G366" s="21">
        <v>2190.2199999999998</v>
      </c>
    </row>
    <row r="367" spans="2:7" x14ac:dyDescent="0.25">
      <c r="B367" s="19">
        <v>41761</v>
      </c>
      <c r="C367" s="20">
        <v>2</v>
      </c>
      <c r="D367" s="18" t="s">
        <v>25</v>
      </c>
      <c r="E367" s="18" t="s">
        <v>26</v>
      </c>
      <c r="F367" s="18" t="s">
        <v>22</v>
      </c>
      <c r="G367" s="21">
        <v>118.63</v>
      </c>
    </row>
    <row r="368" spans="2:7" x14ac:dyDescent="0.25">
      <c r="B368" s="19">
        <v>41318</v>
      </c>
      <c r="C368" s="20">
        <v>1</v>
      </c>
      <c r="D368" s="18" t="s">
        <v>21</v>
      </c>
      <c r="E368" s="18" t="s">
        <v>19</v>
      </c>
      <c r="F368" s="18" t="s">
        <v>29</v>
      </c>
      <c r="G368" s="21">
        <v>3445.62</v>
      </c>
    </row>
    <row r="369" spans="2:7" x14ac:dyDescent="0.25">
      <c r="B369" s="19">
        <v>41391</v>
      </c>
      <c r="C369" s="20">
        <v>2</v>
      </c>
      <c r="D369" s="18" t="s">
        <v>21</v>
      </c>
      <c r="E369" s="18" t="s">
        <v>19</v>
      </c>
      <c r="F369" s="18" t="s">
        <v>32</v>
      </c>
      <c r="G369" s="21">
        <v>1714.73</v>
      </c>
    </row>
    <row r="370" spans="2:7" x14ac:dyDescent="0.25">
      <c r="B370" s="19">
        <v>41389</v>
      </c>
      <c r="C370" s="20">
        <v>2</v>
      </c>
      <c r="D370" s="18" t="s">
        <v>11</v>
      </c>
      <c r="E370" s="18" t="s">
        <v>23</v>
      </c>
      <c r="F370" s="18" t="s">
        <v>32</v>
      </c>
      <c r="G370" s="21">
        <v>1415.38</v>
      </c>
    </row>
    <row r="371" spans="2:7" x14ac:dyDescent="0.25">
      <c r="B371" s="19">
        <v>41422</v>
      </c>
      <c r="C371" s="20">
        <v>2</v>
      </c>
      <c r="D371" s="18" t="s">
        <v>11</v>
      </c>
      <c r="E371" s="18" t="s">
        <v>23</v>
      </c>
      <c r="F371" s="18" t="s">
        <v>33</v>
      </c>
      <c r="G371" s="21">
        <v>2608.5300000000002</v>
      </c>
    </row>
    <row r="372" spans="2:7" x14ac:dyDescent="0.25">
      <c r="B372" s="19">
        <v>41716</v>
      </c>
      <c r="C372" s="20">
        <v>1</v>
      </c>
      <c r="D372" s="18" t="s">
        <v>9</v>
      </c>
      <c r="E372" s="18" t="s">
        <v>26</v>
      </c>
      <c r="F372" s="18" t="s">
        <v>32</v>
      </c>
      <c r="G372" s="21">
        <v>1538.43</v>
      </c>
    </row>
    <row r="373" spans="2:7" x14ac:dyDescent="0.25">
      <c r="B373" s="19">
        <v>41463</v>
      </c>
      <c r="C373" s="20">
        <v>3</v>
      </c>
      <c r="D373" s="18" t="s">
        <v>21</v>
      </c>
      <c r="E373" s="18" t="s">
        <v>19</v>
      </c>
      <c r="F373" s="18" t="s">
        <v>24</v>
      </c>
      <c r="G373" s="21">
        <v>418.85</v>
      </c>
    </row>
    <row r="374" spans="2:7" x14ac:dyDescent="0.25">
      <c r="B374" s="19">
        <v>41673</v>
      </c>
      <c r="C374" s="20">
        <v>1</v>
      </c>
      <c r="D374" s="18" t="s">
        <v>18</v>
      </c>
      <c r="E374" s="18" t="s">
        <v>19</v>
      </c>
      <c r="F374" s="18" t="s">
        <v>32</v>
      </c>
      <c r="G374" s="21">
        <v>1953.66</v>
      </c>
    </row>
    <row r="375" spans="2:7" x14ac:dyDescent="0.25">
      <c r="B375" s="19">
        <v>41779</v>
      </c>
      <c r="C375" s="20">
        <v>2</v>
      </c>
      <c r="D375" s="18" t="s">
        <v>31</v>
      </c>
      <c r="E375" s="18" t="s">
        <v>28</v>
      </c>
      <c r="F375" s="18" t="s">
        <v>29</v>
      </c>
      <c r="G375" s="21">
        <v>2888.58</v>
      </c>
    </row>
    <row r="376" spans="2:7" x14ac:dyDescent="0.25">
      <c r="B376" s="19">
        <v>41554</v>
      </c>
      <c r="C376" s="20">
        <v>4</v>
      </c>
      <c r="D376" s="18" t="s">
        <v>25</v>
      </c>
      <c r="E376" s="18" t="s">
        <v>26</v>
      </c>
      <c r="F376" s="18" t="s">
        <v>29</v>
      </c>
      <c r="G376" s="21">
        <v>3794.16</v>
      </c>
    </row>
    <row r="377" spans="2:7" x14ac:dyDescent="0.25">
      <c r="B377" s="19">
        <v>41614</v>
      </c>
      <c r="C377" s="20">
        <v>4</v>
      </c>
      <c r="D377" s="18" t="s">
        <v>25</v>
      </c>
      <c r="E377" s="18" t="s">
        <v>26</v>
      </c>
      <c r="F377" s="18" t="s">
        <v>22</v>
      </c>
      <c r="G377" s="21">
        <v>321.5</v>
      </c>
    </row>
    <row r="378" spans="2:7" x14ac:dyDescent="0.25">
      <c r="B378" s="19">
        <v>41355</v>
      </c>
      <c r="C378" s="20">
        <v>1</v>
      </c>
      <c r="D378" s="18" t="s">
        <v>31</v>
      </c>
      <c r="E378" s="18" t="s">
        <v>28</v>
      </c>
      <c r="F378" s="18" t="s">
        <v>20</v>
      </c>
      <c r="G378" s="21">
        <v>797.57</v>
      </c>
    </row>
    <row r="379" spans="2:7" x14ac:dyDescent="0.25">
      <c r="B379" s="19">
        <v>41649</v>
      </c>
      <c r="C379" s="20">
        <v>1</v>
      </c>
      <c r="D379" s="18" t="s">
        <v>9</v>
      </c>
      <c r="E379" s="18" t="s">
        <v>26</v>
      </c>
      <c r="F379" s="18" t="s">
        <v>27</v>
      </c>
      <c r="G379" s="21">
        <v>451.83</v>
      </c>
    </row>
    <row r="380" spans="2:7" x14ac:dyDescent="0.25">
      <c r="B380" s="19">
        <v>41366</v>
      </c>
      <c r="C380" s="20">
        <v>2</v>
      </c>
      <c r="D380" s="18" t="s">
        <v>18</v>
      </c>
      <c r="E380" s="18" t="s">
        <v>19</v>
      </c>
      <c r="F380" s="18" t="s">
        <v>32</v>
      </c>
      <c r="G380" s="21">
        <v>1480.31</v>
      </c>
    </row>
    <row r="381" spans="2:7" x14ac:dyDescent="0.25">
      <c r="B381" s="19">
        <v>41513</v>
      </c>
      <c r="C381" s="20">
        <v>3</v>
      </c>
      <c r="D381" s="18" t="s">
        <v>9</v>
      </c>
      <c r="E381" s="18" t="s">
        <v>26</v>
      </c>
      <c r="F381" s="18" t="s">
        <v>20</v>
      </c>
      <c r="G381" s="21">
        <v>362.72</v>
      </c>
    </row>
    <row r="382" spans="2:7" x14ac:dyDescent="0.25">
      <c r="B382" s="19">
        <v>41894</v>
      </c>
      <c r="C382" s="20">
        <v>3</v>
      </c>
      <c r="D382" s="18" t="s">
        <v>21</v>
      </c>
      <c r="E382" s="18" t="s">
        <v>19</v>
      </c>
      <c r="F382" s="18" t="s">
        <v>27</v>
      </c>
      <c r="G382" s="21">
        <v>1943.54</v>
      </c>
    </row>
    <row r="383" spans="2:7" x14ac:dyDescent="0.25">
      <c r="B383" s="19">
        <v>41303</v>
      </c>
      <c r="C383" s="20">
        <v>1</v>
      </c>
      <c r="D383" s="18" t="s">
        <v>10</v>
      </c>
      <c r="E383" s="18" t="s">
        <v>28</v>
      </c>
      <c r="F383" s="18" t="s">
        <v>33</v>
      </c>
      <c r="G383" s="21">
        <v>741.95</v>
      </c>
    </row>
    <row r="384" spans="2:7" x14ac:dyDescent="0.25">
      <c r="B384" s="19">
        <v>41330</v>
      </c>
      <c r="C384" s="20">
        <v>1</v>
      </c>
      <c r="D384" s="18" t="s">
        <v>11</v>
      </c>
      <c r="E384" s="18" t="s">
        <v>23</v>
      </c>
      <c r="F384" s="18" t="s">
        <v>27</v>
      </c>
      <c r="G384" s="21">
        <v>1049.24</v>
      </c>
    </row>
    <row r="385" spans="2:7" x14ac:dyDescent="0.25">
      <c r="B385" s="19">
        <v>41834</v>
      </c>
      <c r="C385" s="20">
        <v>3</v>
      </c>
      <c r="D385" s="18" t="s">
        <v>18</v>
      </c>
      <c r="E385" s="18" t="s">
        <v>19</v>
      </c>
      <c r="F385" s="18" t="s">
        <v>20</v>
      </c>
      <c r="G385" s="21">
        <v>302.27999999999997</v>
      </c>
    </row>
    <row r="386" spans="2:7" x14ac:dyDescent="0.25">
      <c r="B386" s="19">
        <v>41579</v>
      </c>
      <c r="C386" s="20">
        <v>4</v>
      </c>
      <c r="D386" s="18" t="s">
        <v>31</v>
      </c>
      <c r="E386" s="18" t="s">
        <v>28</v>
      </c>
      <c r="F386" s="18" t="s">
        <v>29</v>
      </c>
      <c r="G386" s="21">
        <v>2867.7</v>
      </c>
    </row>
    <row r="387" spans="2:7" x14ac:dyDescent="0.25">
      <c r="B387" s="19">
        <v>41990</v>
      </c>
      <c r="C387" s="20">
        <v>4</v>
      </c>
      <c r="D387" s="18" t="s">
        <v>21</v>
      </c>
      <c r="E387" s="18" t="s">
        <v>19</v>
      </c>
      <c r="F387" s="18" t="s">
        <v>30</v>
      </c>
      <c r="G387" s="21">
        <v>2294.71</v>
      </c>
    </row>
    <row r="388" spans="2:7" x14ac:dyDescent="0.25">
      <c r="B388" s="19">
        <v>41734</v>
      </c>
      <c r="C388" s="20">
        <v>2</v>
      </c>
      <c r="D388" s="18" t="s">
        <v>18</v>
      </c>
      <c r="E388" s="18" t="s">
        <v>19</v>
      </c>
      <c r="F388" s="18" t="s">
        <v>22</v>
      </c>
      <c r="G388" s="21">
        <v>1060.6500000000001</v>
      </c>
    </row>
    <row r="389" spans="2:7" x14ac:dyDescent="0.25">
      <c r="B389" s="19">
        <v>41970</v>
      </c>
      <c r="C389" s="20">
        <v>4</v>
      </c>
      <c r="D389" s="18" t="s">
        <v>8</v>
      </c>
      <c r="E389" s="18" t="s">
        <v>23</v>
      </c>
      <c r="F389" s="18" t="s">
        <v>20</v>
      </c>
      <c r="G389" s="21">
        <v>334.68</v>
      </c>
    </row>
    <row r="390" spans="2:7" x14ac:dyDescent="0.25">
      <c r="B390" s="19">
        <v>41303</v>
      </c>
      <c r="C390" s="20">
        <v>1</v>
      </c>
      <c r="D390" s="18" t="s">
        <v>11</v>
      </c>
      <c r="E390" s="18" t="s">
        <v>23</v>
      </c>
      <c r="F390" s="18" t="s">
        <v>29</v>
      </c>
      <c r="G390" s="21">
        <v>3838.4</v>
      </c>
    </row>
    <row r="391" spans="2:7" x14ac:dyDescent="0.25">
      <c r="B391" s="19">
        <v>41602</v>
      </c>
      <c r="C391" s="20">
        <v>4</v>
      </c>
      <c r="D391" s="18" t="s">
        <v>21</v>
      </c>
      <c r="E391" s="18" t="s">
        <v>19</v>
      </c>
      <c r="F391" s="18" t="s">
        <v>33</v>
      </c>
      <c r="G391" s="21">
        <v>2230.3200000000002</v>
      </c>
    </row>
    <row r="392" spans="2:7" x14ac:dyDescent="0.25">
      <c r="B392" s="19">
        <v>41608</v>
      </c>
      <c r="C392" s="20">
        <v>4</v>
      </c>
      <c r="D392" s="18" t="s">
        <v>18</v>
      </c>
      <c r="E392" s="18" t="s">
        <v>19</v>
      </c>
      <c r="F392" s="18" t="s">
        <v>20</v>
      </c>
      <c r="G392" s="21">
        <v>364.24</v>
      </c>
    </row>
    <row r="393" spans="2:7" x14ac:dyDescent="0.25">
      <c r="B393" s="19">
        <v>41445</v>
      </c>
      <c r="C393" s="20">
        <v>2</v>
      </c>
      <c r="D393" s="18" t="s">
        <v>10</v>
      </c>
      <c r="E393" s="18" t="s">
        <v>28</v>
      </c>
      <c r="F393" s="18" t="s">
        <v>32</v>
      </c>
      <c r="G393" s="21">
        <v>1077.5899999999999</v>
      </c>
    </row>
    <row r="394" spans="2:7" x14ac:dyDescent="0.25">
      <c r="B394" s="19">
        <v>41322</v>
      </c>
      <c r="C394" s="20">
        <v>1</v>
      </c>
      <c r="D394" s="18" t="s">
        <v>21</v>
      </c>
      <c r="E394" s="18" t="s">
        <v>19</v>
      </c>
      <c r="F394" s="18" t="s">
        <v>32</v>
      </c>
      <c r="G394" s="21">
        <v>1685.5</v>
      </c>
    </row>
    <row r="395" spans="2:7" x14ac:dyDescent="0.25">
      <c r="B395" s="19">
        <v>41836</v>
      </c>
      <c r="C395" s="20">
        <v>3</v>
      </c>
      <c r="D395" s="18" t="s">
        <v>8</v>
      </c>
      <c r="E395" s="18" t="s">
        <v>23</v>
      </c>
      <c r="F395" s="18" t="s">
        <v>30</v>
      </c>
      <c r="G395" s="21">
        <v>2344.42</v>
      </c>
    </row>
    <row r="396" spans="2:7" x14ac:dyDescent="0.25">
      <c r="B396" s="19">
        <v>41731</v>
      </c>
      <c r="C396" s="20">
        <v>2</v>
      </c>
      <c r="D396" s="18" t="s">
        <v>21</v>
      </c>
      <c r="E396" s="18" t="s">
        <v>19</v>
      </c>
      <c r="F396" s="18" t="s">
        <v>20</v>
      </c>
      <c r="G396" s="21">
        <v>426.75</v>
      </c>
    </row>
    <row r="397" spans="2:7" x14ac:dyDescent="0.25">
      <c r="B397" s="19">
        <v>41614</v>
      </c>
      <c r="C397" s="20">
        <v>4</v>
      </c>
      <c r="D397" s="18" t="s">
        <v>25</v>
      </c>
      <c r="E397" s="18" t="s">
        <v>26</v>
      </c>
      <c r="F397" s="18" t="s">
        <v>20</v>
      </c>
      <c r="G397" s="21">
        <v>795.06</v>
      </c>
    </row>
    <row r="398" spans="2:7" x14ac:dyDescent="0.25">
      <c r="B398" s="19">
        <v>41459</v>
      </c>
      <c r="C398" s="20">
        <v>3</v>
      </c>
      <c r="D398" s="18" t="s">
        <v>31</v>
      </c>
      <c r="E398" s="18" t="s">
        <v>28</v>
      </c>
      <c r="F398" s="18" t="s">
        <v>22</v>
      </c>
      <c r="G398" s="21">
        <v>1868</v>
      </c>
    </row>
    <row r="399" spans="2:7" x14ac:dyDescent="0.25">
      <c r="B399" s="19">
        <v>41962</v>
      </c>
      <c r="C399" s="20">
        <v>4</v>
      </c>
      <c r="D399" s="18" t="s">
        <v>8</v>
      </c>
      <c r="E399" s="18" t="s">
        <v>23</v>
      </c>
      <c r="F399" s="18" t="s">
        <v>20</v>
      </c>
      <c r="G399" s="21">
        <v>714.59</v>
      </c>
    </row>
    <row r="400" spans="2:7" x14ac:dyDescent="0.25">
      <c r="B400" s="19">
        <v>41295</v>
      </c>
      <c r="C400" s="20">
        <v>1</v>
      </c>
      <c r="D400" s="18" t="s">
        <v>10</v>
      </c>
      <c r="E400" s="18" t="s">
        <v>28</v>
      </c>
      <c r="F400" s="18" t="s">
        <v>27</v>
      </c>
      <c r="G400" s="21">
        <v>489</v>
      </c>
    </row>
    <row r="401" spans="2:7" x14ac:dyDescent="0.25">
      <c r="B401" s="19">
        <v>41702</v>
      </c>
      <c r="C401" s="20">
        <v>1</v>
      </c>
      <c r="D401" s="18" t="s">
        <v>31</v>
      </c>
      <c r="E401" s="18" t="s">
        <v>28</v>
      </c>
      <c r="F401" s="18" t="s">
        <v>24</v>
      </c>
      <c r="G401" s="21">
        <v>324.25</v>
      </c>
    </row>
    <row r="402" spans="2:7" x14ac:dyDescent="0.25">
      <c r="B402" s="19">
        <v>41866</v>
      </c>
      <c r="C402" s="20">
        <v>3</v>
      </c>
      <c r="D402" s="18" t="s">
        <v>11</v>
      </c>
      <c r="E402" s="18" t="s">
        <v>23</v>
      </c>
      <c r="F402" s="18" t="s">
        <v>22</v>
      </c>
      <c r="G402" s="21">
        <v>1812.63</v>
      </c>
    </row>
    <row r="403" spans="2:7" x14ac:dyDescent="0.25">
      <c r="B403" s="19">
        <v>41923</v>
      </c>
      <c r="C403" s="20">
        <v>4</v>
      </c>
      <c r="D403" s="18" t="s">
        <v>25</v>
      </c>
      <c r="E403" s="18" t="s">
        <v>26</v>
      </c>
      <c r="F403" s="18" t="s">
        <v>22</v>
      </c>
      <c r="G403" s="21">
        <v>1969.21</v>
      </c>
    </row>
    <row r="404" spans="2:7" x14ac:dyDescent="0.25">
      <c r="B404" s="19">
        <v>41513</v>
      </c>
      <c r="C404" s="20">
        <v>3</v>
      </c>
      <c r="D404" s="18" t="s">
        <v>8</v>
      </c>
      <c r="E404" s="18" t="s">
        <v>23</v>
      </c>
      <c r="F404" s="18" t="s">
        <v>32</v>
      </c>
      <c r="G404" s="21">
        <v>1695.95</v>
      </c>
    </row>
    <row r="405" spans="2:7" x14ac:dyDescent="0.25">
      <c r="B405" s="19">
        <v>41970</v>
      </c>
      <c r="C405" s="20">
        <v>4</v>
      </c>
      <c r="D405" s="18" t="s">
        <v>18</v>
      </c>
      <c r="E405" s="18" t="s">
        <v>19</v>
      </c>
      <c r="F405" s="18" t="s">
        <v>24</v>
      </c>
      <c r="G405" s="21">
        <v>601.13</v>
      </c>
    </row>
    <row r="406" spans="2:7" x14ac:dyDescent="0.25">
      <c r="B406" s="19">
        <v>41787</v>
      </c>
      <c r="C406" s="20">
        <v>2</v>
      </c>
      <c r="D406" s="18" t="s">
        <v>31</v>
      </c>
      <c r="E406" s="18" t="s">
        <v>28</v>
      </c>
      <c r="F406" s="18" t="s">
        <v>20</v>
      </c>
      <c r="G406" s="21">
        <v>171.26</v>
      </c>
    </row>
    <row r="407" spans="2:7" x14ac:dyDescent="0.25">
      <c r="B407" s="19">
        <v>41815</v>
      </c>
      <c r="C407" s="20">
        <v>2</v>
      </c>
      <c r="D407" s="18" t="s">
        <v>9</v>
      </c>
      <c r="E407" s="18" t="s">
        <v>26</v>
      </c>
      <c r="F407" s="18" t="s">
        <v>22</v>
      </c>
      <c r="G407" s="21">
        <v>368.54</v>
      </c>
    </row>
    <row r="408" spans="2:7" x14ac:dyDescent="0.25">
      <c r="B408" s="19">
        <v>41506</v>
      </c>
      <c r="C408" s="20">
        <v>3</v>
      </c>
      <c r="D408" s="18" t="s">
        <v>8</v>
      </c>
      <c r="E408" s="18" t="s">
        <v>23</v>
      </c>
      <c r="F408" s="18" t="s">
        <v>30</v>
      </c>
      <c r="G408" s="21">
        <v>2861.97</v>
      </c>
    </row>
    <row r="409" spans="2:7" x14ac:dyDescent="0.25">
      <c r="B409" s="19">
        <v>41712</v>
      </c>
      <c r="C409" s="20">
        <v>1</v>
      </c>
      <c r="D409" s="18" t="s">
        <v>25</v>
      </c>
      <c r="E409" s="18" t="s">
        <v>26</v>
      </c>
      <c r="F409" s="18" t="s">
        <v>20</v>
      </c>
      <c r="G409" s="21">
        <v>254</v>
      </c>
    </row>
    <row r="410" spans="2:7" x14ac:dyDescent="0.25">
      <c r="B410" s="19">
        <v>41373</v>
      </c>
      <c r="C410" s="20">
        <v>2</v>
      </c>
      <c r="D410" s="18" t="s">
        <v>9</v>
      </c>
      <c r="E410" s="18" t="s">
        <v>26</v>
      </c>
      <c r="F410" s="18" t="s">
        <v>29</v>
      </c>
      <c r="G410" s="21">
        <v>3445.24</v>
      </c>
    </row>
    <row r="411" spans="2:7" x14ac:dyDescent="0.25">
      <c r="B411" s="19">
        <v>41463</v>
      </c>
      <c r="C411" s="20">
        <v>3</v>
      </c>
      <c r="D411" s="18" t="s">
        <v>31</v>
      </c>
      <c r="E411" s="18" t="s">
        <v>28</v>
      </c>
      <c r="F411" s="18" t="s">
        <v>27</v>
      </c>
      <c r="G411" s="21">
        <v>179.38</v>
      </c>
    </row>
    <row r="412" spans="2:7" x14ac:dyDescent="0.25">
      <c r="B412" s="19">
        <v>41761</v>
      </c>
      <c r="C412" s="20">
        <v>2</v>
      </c>
      <c r="D412" s="18" t="s">
        <v>31</v>
      </c>
      <c r="E412" s="18" t="s">
        <v>28</v>
      </c>
      <c r="F412" s="18" t="s">
        <v>33</v>
      </c>
      <c r="G412" s="21">
        <v>982.38</v>
      </c>
    </row>
    <row r="413" spans="2:7" x14ac:dyDescent="0.25">
      <c r="B413" s="19">
        <v>41581</v>
      </c>
      <c r="C413" s="20">
        <v>4</v>
      </c>
      <c r="D413" s="18" t="s">
        <v>10</v>
      </c>
      <c r="E413" s="18" t="s">
        <v>28</v>
      </c>
      <c r="F413" s="18" t="s">
        <v>33</v>
      </c>
      <c r="G413" s="21">
        <v>764.43</v>
      </c>
    </row>
    <row r="414" spans="2:7" x14ac:dyDescent="0.25">
      <c r="B414" s="19">
        <v>41396</v>
      </c>
      <c r="C414" s="20">
        <v>2</v>
      </c>
      <c r="D414" s="18" t="s">
        <v>25</v>
      </c>
      <c r="E414" s="18" t="s">
        <v>26</v>
      </c>
      <c r="F414" s="18" t="s">
        <v>24</v>
      </c>
      <c r="G414" s="21">
        <v>317.95</v>
      </c>
    </row>
    <row r="415" spans="2:7" x14ac:dyDescent="0.25">
      <c r="B415" s="19">
        <v>41692</v>
      </c>
      <c r="C415" s="20">
        <v>1</v>
      </c>
      <c r="D415" s="18" t="s">
        <v>8</v>
      </c>
      <c r="E415" s="18" t="s">
        <v>23</v>
      </c>
      <c r="F415" s="18" t="s">
        <v>32</v>
      </c>
      <c r="G415" s="21">
        <v>1650.81</v>
      </c>
    </row>
    <row r="416" spans="2:7" x14ac:dyDescent="0.25">
      <c r="B416" s="19">
        <v>41792</v>
      </c>
      <c r="C416" s="20">
        <v>2</v>
      </c>
      <c r="D416" s="18" t="s">
        <v>21</v>
      </c>
      <c r="E416" s="18" t="s">
        <v>19</v>
      </c>
      <c r="F416" s="18" t="s">
        <v>29</v>
      </c>
      <c r="G416" s="21">
        <v>2141.8200000000002</v>
      </c>
    </row>
    <row r="417" spans="2:7" x14ac:dyDescent="0.25">
      <c r="B417" s="19">
        <v>41402</v>
      </c>
      <c r="C417" s="20">
        <v>2</v>
      </c>
      <c r="D417" s="18" t="s">
        <v>8</v>
      </c>
      <c r="E417" s="18" t="s">
        <v>23</v>
      </c>
      <c r="F417" s="18" t="s">
        <v>33</v>
      </c>
      <c r="G417" s="21">
        <v>1501.34</v>
      </c>
    </row>
    <row r="418" spans="2:7" x14ac:dyDescent="0.25">
      <c r="B418" s="19">
        <v>41307</v>
      </c>
      <c r="C418" s="20">
        <v>1</v>
      </c>
      <c r="D418" s="18" t="s">
        <v>21</v>
      </c>
      <c r="E418" s="18" t="s">
        <v>19</v>
      </c>
      <c r="F418" s="18" t="s">
        <v>22</v>
      </c>
      <c r="G418" s="21">
        <v>627.72</v>
      </c>
    </row>
    <row r="419" spans="2:7" x14ac:dyDescent="0.25">
      <c r="B419" s="19">
        <v>41993</v>
      </c>
      <c r="C419" s="20">
        <v>4</v>
      </c>
      <c r="D419" s="18" t="s">
        <v>10</v>
      </c>
      <c r="E419" s="18" t="s">
        <v>28</v>
      </c>
      <c r="F419" s="18" t="s">
        <v>29</v>
      </c>
      <c r="G419" s="21">
        <v>3159.24</v>
      </c>
    </row>
    <row r="420" spans="2:7" x14ac:dyDescent="0.25">
      <c r="B420" s="19">
        <v>41367</v>
      </c>
      <c r="C420" s="20">
        <v>2</v>
      </c>
      <c r="D420" s="18" t="s">
        <v>8</v>
      </c>
      <c r="E420" s="18" t="s">
        <v>23</v>
      </c>
      <c r="F420" s="18" t="s">
        <v>30</v>
      </c>
      <c r="G420" s="21">
        <v>1261.55</v>
      </c>
    </row>
    <row r="421" spans="2:7" x14ac:dyDescent="0.25">
      <c r="B421" s="19">
        <v>41823</v>
      </c>
      <c r="C421" s="20">
        <v>3</v>
      </c>
      <c r="D421" s="18" t="s">
        <v>18</v>
      </c>
      <c r="E421" s="18" t="s">
        <v>19</v>
      </c>
      <c r="F421" s="18" t="s">
        <v>30</v>
      </c>
      <c r="G421" s="21">
        <v>581.63</v>
      </c>
    </row>
    <row r="422" spans="2:7" x14ac:dyDescent="0.25">
      <c r="B422" s="19">
        <v>41967</v>
      </c>
      <c r="C422" s="20">
        <v>4</v>
      </c>
      <c r="D422" s="18" t="s">
        <v>8</v>
      </c>
      <c r="E422" s="18" t="s">
        <v>23</v>
      </c>
      <c r="F422" s="18" t="s">
        <v>32</v>
      </c>
      <c r="G422" s="21">
        <v>1888.58</v>
      </c>
    </row>
    <row r="423" spans="2:7" x14ac:dyDescent="0.25">
      <c r="B423" s="19">
        <v>41447</v>
      </c>
      <c r="C423" s="20">
        <v>2</v>
      </c>
      <c r="D423" s="18" t="s">
        <v>31</v>
      </c>
      <c r="E423" s="18" t="s">
        <v>28</v>
      </c>
      <c r="F423" s="18" t="s">
        <v>24</v>
      </c>
      <c r="G423" s="21">
        <v>1429</v>
      </c>
    </row>
    <row r="424" spans="2:7" x14ac:dyDescent="0.25">
      <c r="B424" s="19">
        <v>41310</v>
      </c>
      <c r="C424" s="20">
        <v>1</v>
      </c>
      <c r="D424" s="18" t="s">
        <v>31</v>
      </c>
      <c r="E424" s="18" t="s">
        <v>28</v>
      </c>
      <c r="F424" s="18" t="s">
        <v>27</v>
      </c>
      <c r="G424" s="21">
        <v>1649.68</v>
      </c>
    </row>
    <row r="425" spans="2:7" x14ac:dyDescent="0.25">
      <c r="B425" s="19">
        <v>41545</v>
      </c>
      <c r="C425" s="20">
        <v>3</v>
      </c>
      <c r="D425" s="18" t="s">
        <v>25</v>
      </c>
      <c r="E425" s="18" t="s">
        <v>26</v>
      </c>
      <c r="F425" s="18" t="s">
        <v>20</v>
      </c>
      <c r="G425" s="21">
        <v>676.16</v>
      </c>
    </row>
    <row r="426" spans="2:7" x14ac:dyDescent="0.25">
      <c r="B426" s="19">
        <v>41545</v>
      </c>
      <c r="C426" s="20">
        <v>3</v>
      </c>
      <c r="D426" s="18" t="s">
        <v>21</v>
      </c>
      <c r="E426" s="18" t="s">
        <v>19</v>
      </c>
      <c r="F426" s="18" t="s">
        <v>33</v>
      </c>
      <c r="G426" s="21">
        <v>1956</v>
      </c>
    </row>
    <row r="427" spans="2:7" x14ac:dyDescent="0.25">
      <c r="B427" s="19">
        <v>41935</v>
      </c>
      <c r="C427" s="20">
        <v>4</v>
      </c>
      <c r="D427" s="18" t="s">
        <v>8</v>
      </c>
      <c r="E427" s="18" t="s">
        <v>23</v>
      </c>
      <c r="F427" s="18" t="s">
        <v>22</v>
      </c>
      <c r="G427" s="21">
        <v>1735.35</v>
      </c>
    </row>
    <row r="428" spans="2:7" x14ac:dyDescent="0.25">
      <c r="B428" s="19">
        <v>41519</v>
      </c>
      <c r="C428" s="20">
        <v>3</v>
      </c>
      <c r="D428" s="18" t="s">
        <v>31</v>
      </c>
      <c r="E428" s="18" t="s">
        <v>28</v>
      </c>
      <c r="F428" s="18" t="s">
        <v>32</v>
      </c>
      <c r="G428" s="21">
        <v>1576.26</v>
      </c>
    </row>
    <row r="429" spans="2:7" x14ac:dyDescent="0.25">
      <c r="B429" s="19">
        <v>41637</v>
      </c>
      <c r="C429" s="20">
        <v>4</v>
      </c>
      <c r="D429" s="18" t="s">
        <v>8</v>
      </c>
      <c r="E429" s="18" t="s">
        <v>23</v>
      </c>
      <c r="F429" s="18" t="s">
        <v>30</v>
      </c>
      <c r="G429" s="21">
        <v>483.36</v>
      </c>
    </row>
    <row r="430" spans="2:7" x14ac:dyDescent="0.25">
      <c r="B430" s="19">
        <v>41869</v>
      </c>
      <c r="C430" s="20">
        <v>3</v>
      </c>
      <c r="D430" s="18" t="s">
        <v>10</v>
      </c>
      <c r="E430" s="18" t="s">
        <v>28</v>
      </c>
      <c r="F430" s="18" t="s">
        <v>27</v>
      </c>
      <c r="G430" s="21">
        <v>1480.36</v>
      </c>
    </row>
    <row r="431" spans="2:7" x14ac:dyDescent="0.25">
      <c r="B431" s="19">
        <v>41338</v>
      </c>
      <c r="C431" s="20">
        <v>1</v>
      </c>
      <c r="D431" s="18" t="s">
        <v>18</v>
      </c>
      <c r="E431" s="18" t="s">
        <v>19</v>
      </c>
      <c r="F431" s="18" t="s">
        <v>29</v>
      </c>
      <c r="G431" s="21">
        <v>1248.0999999999999</v>
      </c>
    </row>
    <row r="432" spans="2:7" x14ac:dyDescent="0.25">
      <c r="B432" s="19">
        <v>41433</v>
      </c>
      <c r="C432" s="20">
        <v>2</v>
      </c>
      <c r="D432" s="18" t="s">
        <v>18</v>
      </c>
      <c r="E432" s="18" t="s">
        <v>19</v>
      </c>
      <c r="F432" s="18" t="s">
        <v>20</v>
      </c>
      <c r="G432" s="21">
        <v>560.54999999999995</v>
      </c>
    </row>
    <row r="433" spans="2:7" x14ac:dyDescent="0.25">
      <c r="B433" s="19">
        <v>41816</v>
      </c>
      <c r="C433" s="20">
        <v>2</v>
      </c>
      <c r="D433" s="18" t="s">
        <v>31</v>
      </c>
      <c r="E433" s="18" t="s">
        <v>28</v>
      </c>
      <c r="F433" s="18" t="s">
        <v>32</v>
      </c>
      <c r="G433" s="21">
        <v>327.04000000000002</v>
      </c>
    </row>
    <row r="434" spans="2:7" x14ac:dyDescent="0.25">
      <c r="B434" s="19">
        <v>41702</v>
      </c>
      <c r="C434" s="20">
        <v>1</v>
      </c>
      <c r="D434" s="18" t="s">
        <v>8</v>
      </c>
      <c r="E434" s="18" t="s">
        <v>23</v>
      </c>
      <c r="F434" s="18" t="s">
        <v>27</v>
      </c>
      <c r="G434" s="21">
        <v>935.28</v>
      </c>
    </row>
    <row r="435" spans="2:7" x14ac:dyDescent="0.25">
      <c r="B435" s="19">
        <v>41472</v>
      </c>
      <c r="C435" s="20">
        <v>3</v>
      </c>
      <c r="D435" s="18" t="s">
        <v>9</v>
      </c>
      <c r="E435" s="18" t="s">
        <v>26</v>
      </c>
      <c r="F435" s="18" t="s">
        <v>30</v>
      </c>
      <c r="G435" s="21">
        <v>2125.16</v>
      </c>
    </row>
    <row r="436" spans="2:7" x14ac:dyDescent="0.25">
      <c r="B436" s="19">
        <v>41846</v>
      </c>
      <c r="C436" s="20">
        <v>3</v>
      </c>
      <c r="D436" s="18" t="s">
        <v>31</v>
      </c>
      <c r="E436" s="18" t="s">
        <v>28</v>
      </c>
      <c r="F436" s="18" t="s">
        <v>24</v>
      </c>
      <c r="G436" s="21">
        <v>612.45000000000005</v>
      </c>
    </row>
    <row r="437" spans="2:7" x14ac:dyDescent="0.25">
      <c r="B437" s="19">
        <v>41722</v>
      </c>
      <c r="C437" s="20">
        <v>1</v>
      </c>
      <c r="D437" s="18" t="s">
        <v>10</v>
      </c>
      <c r="E437" s="18" t="s">
        <v>28</v>
      </c>
      <c r="F437" s="18" t="s">
        <v>30</v>
      </c>
      <c r="G437" s="21">
        <v>2867.1</v>
      </c>
    </row>
    <row r="438" spans="2:7" x14ac:dyDescent="0.25">
      <c r="B438" s="19">
        <v>41465</v>
      </c>
      <c r="C438" s="20">
        <v>3</v>
      </c>
      <c r="D438" s="18" t="s">
        <v>8</v>
      </c>
      <c r="E438" s="18" t="s">
        <v>23</v>
      </c>
      <c r="F438" s="18" t="s">
        <v>27</v>
      </c>
      <c r="G438" s="21">
        <v>525.73</v>
      </c>
    </row>
    <row r="439" spans="2:7" x14ac:dyDescent="0.25">
      <c r="B439" s="19">
        <v>41304</v>
      </c>
      <c r="C439" s="20">
        <v>1</v>
      </c>
      <c r="D439" s="18" t="s">
        <v>8</v>
      </c>
      <c r="E439" s="18" t="s">
        <v>23</v>
      </c>
      <c r="F439" s="18" t="s">
        <v>24</v>
      </c>
      <c r="G439" s="21">
        <v>443.65</v>
      </c>
    </row>
    <row r="440" spans="2:7" x14ac:dyDescent="0.25">
      <c r="B440" s="19">
        <v>41982</v>
      </c>
      <c r="C440" s="20">
        <v>4</v>
      </c>
      <c r="D440" s="18" t="s">
        <v>31</v>
      </c>
      <c r="E440" s="18" t="s">
        <v>28</v>
      </c>
      <c r="F440" s="18" t="s">
        <v>22</v>
      </c>
      <c r="G440" s="21">
        <v>278.68</v>
      </c>
    </row>
    <row r="441" spans="2:7" x14ac:dyDescent="0.25">
      <c r="B441" s="19">
        <v>41740</v>
      </c>
      <c r="C441" s="20">
        <v>2</v>
      </c>
      <c r="D441" s="18" t="s">
        <v>31</v>
      </c>
      <c r="E441" s="18" t="s">
        <v>28</v>
      </c>
      <c r="F441" s="18" t="s">
        <v>32</v>
      </c>
      <c r="G441" s="21">
        <v>840.25</v>
      </c>
    </row>
    <row r="442" spans="2:7" x14ac:dyDescent="0.25">
      <c r="B442" s="19">
        <v>41373</v>
      </c>
      <c r="C442" s="20">
        <v>2</v>
      </c>
      <c r="D442" s="18" t="s">
        <v>11</v>
      </c>
      <c r="E442" s="18" t="s">
        <v>23</v>
      </c>
      <c r="F442" s="18" t="s">
        <v>29</v>
      </c>
      <c r="G442" s="21">
        <v>2093.46</v>
      </c>
    </row>
    <row r="443" spans="2:7" x14ac:dyDescent="0.25">
      <c r="B443" s="19">
        <v>41614</v>
      </c>
      <c r="C443" s="20">
        <v>4</v>
      </c>
      <c r="D443" s="18" t="s">
        <v>31</v>
      </c>
      <c r="E443" s="18" t="s">
        <v>28</v>
      </c>
      <c r="F443" s="18" t="s">
        <v>32</v>
      </c>
      <c r="G443" s="21">
        <v>1700.78</v>
      </c>
    </row>
    <row r="444" spans="2:7" x14ac:dyDescent="0.25">
      <c r="B444" s="19">
        <v>41468</v>
      </c>
      <c r="C444" s="20">
        <v>3</v>
      </c>
      <c r="D444" s="18" t="s">
        <v>10</v>
      </c>
      <c r="E444" s="18" t="s">
        <v>28</v>
      </c>
      <c r="F444" s="18" t="s">
        <v>29</v>
      </c>
      <c r="G444" s="21">
        <v>3608.32</v>
      </c>
    </row>
    <row r="445" spans="2:7" x14ac:dyDescent="0.25">
      <c r="B445" s="19">
        <v>41560</v>
      </c>
      <c r="C445" s="20">
        <v>4</v>
      </c>
      <c r="D445" s="18" t="s">
        <v>9</v>
      </c>
      <c r="E445" s="18" t="s">
        <v>26</v>
      </c>
      <c r="F445" s="18" t="s">
        <v>27</v>
      </c>
      <c r="G445" s="21">
        <v>1363.77</v>
      </c>
    </row>
    <row r="446" spans="2:7" x14ac:dyDescent="0.25">
      <c r="B446" s="19">
        <v>41657</v>
      </c>
      <c r="C446" s="20">
        <v>1</v>
      </c>
      <c r="D446" s="18" t="s">
        <v>31</v>
      </c>
      <c r="E446" s="18" t="s">
        <v>28</v>
      </c>
      <c r="F446" s="18" t="s">
        <v>32</v>
      </c>
      <c r="G446" s="21">
        <v>1593.79</v>
      </c>
    </row>
    <row r="447" spans="2:7" x14ac:dyDescent="0.25">
      <c r="B447" s="19">
        <v>41356</v>
      </c>
      <c r="C447" s="20">
        <v>1</v>
      </c>
      <c r="D447" s="18" t="s">
        <v>21</v>
      </c>
      <c r="E447" s="18" t="s">
        <v>19</v>
      </c>
      <c r="F447" s="18" t="s">
        <v>30</v>
      </c>
      <c r="G447" s="21">
        <v>2436.7800000000002</v>
      </c>
    </row>
    <row r="448" spans="2:7" x14ac:dyDescent="0.25">
      <c r="B448" s="19">
        <v>41794</v>
      </c>
      <c r="C448" s="20">
        <v>2</v>
      </c>
      <c r="D448" s="18" t="s">
        <v>8</v>
      </c>
      <c r="E448" s="18" t="s">
        <v>23</v>
      </c>
      <c r="F448" s="18" t="s">
        <v>27</v>
      </c>
      <c r="G448" s="21">
        <v>185.21</v>
      </c>
    </row>
    <row r="449" spans="2:7" x14ac:dyDescent="0.25">
      <c r="B449" s="19">
        <v>41821</v>
      </c>
      <c r="C449" s="20">
        <v>3</v>
      </c>
      <c r="D449" s="18" t="s">
        <v>31</v>
      </c>
      <c r="E449" s="18" t="s">
        <v>28</v>
      </c>
      <c r="F449" s="18" t="s">
        <v>29</v>
      </c>
      <c r="G449" s="21">
        <v>3772.56</v>
      </c>
    </row>
    <row r="450" spans="2:7" x14ac:dyDescent="0.25">
      <c r="B450" s="19">
        <v>41417</v>
      </c>
      <c r="C450" s="20">
        <v>2</v>
      </c>
      <c r="D450" s="18" t="s">
        <v>8</v>
      </c>
      <c r="E450" s="18" t="s">
        <v>23</v>
      </c>
      <c r="F450" s="18" t="s">
        <v>32</v>
      </c>
      <c r="G450" s="21">
        <v>1684.83</v>
      </c>
    </row>
    <row r="451" spans="2:7" x14ac:dyDescent="0.25">
      <c r="B451" s="19">
        <v>41476</v>
      </c>
      <c r="C451" s="20">
        <v>3</v>
      </c>
      <c r="D451" s="18" t="s">
        <v>9</v>
      </c>
      <c r="E451" s="18" t="s">
        <v>26</v>
      </c>
      <c r="F451" s="18" t="s">
        <v>29</v>
      </c>
      <c r="G451" s="21">
        <v>2167.84</v>
      </c>
    </row>
    <row r="452" spans="2:7" x14ac:dyDescent="0.25">
      <c r="B452" s="19">
        <v>41519</v>
      </c>
      <c r="C452" s="20">
        <v>3</v>
      </c>
      <c r="D452" s="18" t="s">
        <v>10</v>
      </c>
      <c r="E452" s="18" t="s">
        <v>28</v>
      </c>
      <c r="F452" s="18" t="s">
        <v>29</v>
      </c>
      <c r="G452" s="21">
        <v>3715.16</v>
      </c>
    </row>
    <row r="453" spans="2:7" x14ac:dyDescent="0.25">
      <c r="B453" s="19">
        <v>41839</v>
      </c>
      <c r="C453" s="20">
        <v>3</v>
      </c>
      <c r="D453" s="18" t="s">
        <v>18</v>
      </c>
      <c r="E453" s="18" t="s">
        <v>19</v>
      </c>
      <c r="F453" s="18" t="s">
        <v>32</v>
      </c>
      <c r="G453" s="21">
        <v>477.1</v>
      </c>
    </row>
    <row r="454" spans="2:7" x14ac:dyDescent="0.25">
      <c r="B454" s="19">
        <v>41737</v>
      </c>
      <c r="C454" s="20">
        <v>2</v>
      </c>
      <c r="D454" s="18" t="s">
        <v>21</v>
      </c>
      <c r="E454" s="18" t="s">
        <v>19</v>
      </c>
      <c r="F454" s="18" t="s">
        <v>24</v>
      </c>
      <c r="G454" s="21">
        <v>1234.9000000000001</v>
      </c>
    </row>
    <row r="455" spans="2:7" x14ac:dyDescent="0.25">
      <c r="B455" s="19">
        <v>41610</v>
      </c>
      <c r="C455" s="20">
        <v>4</v>
      </c>
      <c r="D455" s="18" t="s">
        <v>9</v>
      </c>
      <c r="E455" s="18" t="s">
        <v>26</v>
      </c>
      <c r="F455" s="18" t="s">
        <v>27</v>
      </c>
      <c r="G455" s="21">
        <v>1211.4000000000001</v>
      </c>
    </row>
    <row r="456" spans="2:7" x14ac:dyDescent="0.25">
      <c r="B456" s="19">
        <v>41291</v>
      </c>
      <c r="C456" s="20">
        <v>1</v>
      </c>
      <c r="D456" s="18" t="s">
        <v>10</v>
      </c>
      <c r="E456" s="18" t="s">
        <v>28</v>
      </c>
      <c r="F456" s="18" t="s">
        <v>22</v>
      </c>
      <c r="G456" s="21">
        <v>1469.26</v>
      </c>
    </row>
    <row r="457" spans="2:7" x14ac:dyDescent="0.25">
      <c r="B457" s="19">
        <v>41591</v>
      </c>
      <c r="C457" s="20">
        <v>4</v>
      </c>
      <c r="D457" s="18" t="s">
        <v>11</v>
      </c>
      <c r="E457" s="18" t="s">
        <v>23</v>
      </c>
      <c r="F457" s="18" t="s">
        <v>29</v>
      </c>
      <c r="G457" s="21">
        <v>901.4</v>
      </c>
    </row>
    <row r="458" spans="2:7" x14ac:dyDescent="0.25">
      <c r="B458" s="19">
        <v>41777</v>
      </c>
      <c r="C458" s="20">
        <v>2</v>
      </c>
      <c r="D458" s="18" t="s">
        <v>11</v>
      </c>
      <c r="E458" s="18" t="s">
        <v>23</v>
      </c>
      <c r="F458" s="18" t="s">
        <v>20</v>
      </c>
      <c r="G458" s="21">
        <v>365</v>
      </c>
    </row>
    <row r="459" spans="2:7" x14ac:dyDescent="0.25">
      <c r="B459" s="19">
        <v>41501</v>
      </c>
      <c r="C459" s="20">
        <v>3</v>
      </c>
      <c r="D459" s="18" t="s">
        <v>8</v>
      </c>
      <c r="E459" s="18" t="s">
        <v>23</v>
      </c>
      <c r="F459" s="18" t="s">
        <v>22</v>
      </c>
      <c r="G459" s="21">
        <v>1466.8</v>
      </c>
    </row>
    <row r="460" spans="2:7" x14ac:dyDescent="0.25">
      <c r="B460" s="19">
        <v>41806</v>
      </c>
      <c r="C460" s="20">
        <v>2</v>
      </c>
      <c r="D460" s="18" t="s">
        <v>11</v>
      </c>
      <c r="E460" s="18" t="s">
        <v>23</v>
      </c>
      <c r="F460" s="18" t="s">
        <v>22</v>
      </c>
      <c r="G460" s="21">
        <v>810.98</v>
      </c>
    </row>
    <row r="461" spans="2:7" x14ac:dyDescent="0.25">
      <c r="B461" s="19">
        <v>41681</v>
      </c>
      <c r="C461" s="20">
        <v>1</v>
      </c>
      <c r="D461" s="18" t="s">
        <v>8</v>
      </c>
      <c r="E461" s="18" t="s">
        <v>23</v>
      </c>
      <c r="F461" s="18" t="s">
        <v>33</v>
      </c>
      <c r="G461" s="21">
        <v>636.54</v>
      </c>
    </row>
    <row r="462" spans="2:7" x14ac:dyDescent="0.25">
      <c r="B462" s="19">
        <v>41386</v>
      </c>
      <c r="C462" s="20">
        <v>2</v>
      </c>
      <c r="D462" s="18" t="s">
        <v>11</v>
      </c>
      <c r="E462" s="18" t="s">
        <v>23</v>
      </c>
      <c r="F462" s="18" t="s">
        <v>22</v>
      </c>
      <c r="G462" s="21">
        <v>815.04</v>
      </c>
    </row>
    <row r="463" spans="2:7" x14ac:dyDescent="0.25">
      <c r="B463" s="19">
        <v>41333</v>
      </c>
      <c r="C463" s="20">
        <v>1</v>
      </c>
      <c r="D463" s="18" t="s">
        <v>8</v>
      </c>
      <c r="E463" s="18" t="s">
        <v>23</v>
      </c>
      <c r="F463" s="18" t="s">
        <v>20</v>
      </c>
      <c r="G463" s="21">
        <v>245.21</v>
      </c>
    </row>
    <row r="464" spans="2:7" x14ac:dyDescent="0.25">
      <c r="B464" s="19">
        <v>41546</v>
      </c>
      <c r="C464" s="20">
        <v>3</v>
      </c>
      <c r="D464" s="18" t="s">
        <v>25</v>
      </c>
      <c r="E464" s="18" t="s">
        <v>26</v>
      </c>
      <c r="F464" s="18" t="s">
        <v>27</v>
      </c>
      <c r="G464" s="21">
        <v>1386.43</v>
      </c>
    </row>
    <row r="465" spans="2:7" x14ac:dyDescent="0.25">
      <c r="B465" s="19">
        <v>41425</v>
      </c>
      <c r="C465" s="20">
        <v>2</v>
      </c>
      <c r="D465" s="18" t="s">
        <v>31</v>
      </c>
      <c r="E465" s="18" t="s">
        <v>28</v>
      </c>
      <c r="F465" s="18" t="s">
        <v>22</v>
      </c>
      <c r="G465" s="21">
        <v>656.53</v>
      </c>
    </row>
    <row r="466" spans="2:7" x14ac:dyDescent="0.25">
      <c r="B466" s="19">
        <v>41506</v>
      </c>
      <c r="C466" s="20">
        <v>3</v>
      </c>
      <c r="D466" s="18" t="s">
        <v>31</v>
      </c>
      <c r="E466" s="18" t="s">
        <v>28</v>
      </c>
      <c r="F466" s="18" t="s">
        <v>30</v>
      </c>
      <c r="G466" s="21">
        <v>2257.3000000000002</v>
      </c>
    </row>
    <row r="467" spans="2:7" x14ac:dyDescent="0.25">
      <c r="B467" s="19">
        <v>41842</v>
      </c>
      <c r="C467" s="20">
        <v>3</v>
      </c>
      <c r="D467" s="18" t="s">
        <v>21</v>
      </c>
      <c r="E467" s="18" t="s">
        <v>19</v>
      </c>
      <c r="F467" s="18" t="s">
        <v>27</v>
      </c>
      <c r="G467" s="21">
        <v>584.26</v>
      </c>
    </row>
    <row r="468" spans="2:7" x14ac:dyDescent="0.25">
      <c r="B468" s="19">
        <v>41429</v>
      </c>
      <c r="C468" s="20">
        <v>2</v>
      </c>
      <c r="D468" s="18" t="s">
        <v>18</v>
      </c>
      <c r="E468" s="18" t="s">
        <v>19</v>
      </c>
      <c r="F468" s="18" t="s">
        <v>33</v>
      </c>
      <c r="G468" s="21">
        <v>2893.97</v>
      </c>
    </row>
    <row r="469" spans="2:7" x14ac:dyDescent="0.25">
      <c r="B469" s="19">
        <v>41585</v>
      </c>
      <c r="C469" s="20">
        <v>4</v>
      </c>
      <c r="D469" s="18" t="s">
        <v>18</v>
      </c>
      <c r="E469" s="18" t="s">
        <v>19</v>
      </c>
      <c r="F469" s="18" t="s">
        <v>32</v>
      </c>
      <c r="G469" s="21">
        <v>1276.8800000000001</v>
      </c>
    </row>
    <row r="470" spans="2:7" x14ac:dyDescent="0.25">
      <c r="B470" s="19">
        <v>41691</v>
      </c>
      <c r="C470" s="20">
        <v>1</v>
      </c>
      <c r="D470" s="18" t="s">
        <v>31</v>
      </c>
      <c r="E470" s="18" t="s">
        <v>28</v>
      </c>
      <c r="F470" s="18" t="s">
        <v>33</v>
      </c>
      <c r="G470" s="21">
        <v>1274.8499999999999</v>
      </c>
    </row>
    <row r="471" spans="2:7" x14ac:dyDescent="0.25">
      <c r="B471" s="19">
        <v>41615</v>
      </c>
      <c r="C471" s="20">
        <v>4</v>
      </c>
      <c r="D471" s="18" t="s">
        <v>31</v>
      </c>
      <c r="E471" s="18" t="s">
        <v>28</v>
      </c>
      <c r="F471" s="18" t="s">
        <v>30</v>
      </c>
      <c r="G471" s="21">
        <v>1384.51</v>
      </c>
    </row>
    <row r="472" spans="2:7" x14ac:dyDescent="0.25">
      <c r="B472" s="19">
        <v>41456</v>
      </c>
      <c r="C472" s="20">
        <v>3</v>
      </c>
      <c r="D472" s="18" t="s">
        <v>11</v>
      </c>
      <c r="E472" s="18" t="s">
        <v>23</v>
      </c>
      <c r="F472" s="18" t="s">
        <v>22</v>
      </c>
      <c r="G472" s="21">
        <v>1647.19</v>
      </c>
    </row>
    <row r="473" spans="2:7" x14ac:dyDescent="0.25">
      <c r="B473" s="19">
        <v>41926</v>
      </c>
      <c r="C473" s="20">
        <v>4</v>
      </c>
      <c r="D473" s="18" t="s">
        <v>9</v>
      </c>
      <c r="E473" s="18" t="s">
        <v>26</v>
      </c>
      <c r="F473" s="18" t="s">
        <v>27</v>
      </c>
      <c r="G473" s="21">
        <v>1451.24</v>
      </c>
    </row>
    <row r="474" spans="2:7" x14ac:dyDescent="0.25">
      <c r="B474" s="19">
        <v>41447</v>
      </c>
      <c r="C474" s="20">
        <v>2</v>
      </c>
      <c r="D474" s="18" t="s">
        <v>11</v>
      </c>
      <c r="E474" s="18" t="s">
        <v>23</v>
      </c>
      <c r="F474" s="18" t="s">
        <v>33</v>
      </c>
      <c r="G474" s="21">
        <v>2983.98</v>
      </c>
    </row>
    <row r="475" spans="2:7" x14ac:dyDescent="0.25">
      <c r="B475" s="19">
        <v>41655</v>
      </c>
      <c r="C475" s="20">
        <v>1</v>
      </c>
      <c r="D475" s="18" t="s">
        <v>10</v>
      </c>
      <c r="E475" s="18" t="s">
        <v>28</v>
      </c>
      <c r="F475" s="18" t="s">
        <v>30</v>
      </c>
      <c r="G475" s="21">
        <v>2672.04</v>
      </c>
    </row>
    <row r="476" spans="2:7" x14ac:dyDescent="0.25">
      <c r="B476" s="19">
        <v>41470</v>
      </c>
      <c r="C476" s="20">
        <v>3</v>
      </c>
      <c r="D476" s="18" t="s">
        <v>21</v>
      </c>
      <c r="E476" s="18" t="s">
        <v>19</v>
      </c>
      <c r="F476" s="18" t="s">
        <v>32</v>
      </c>
      <c r="G476" s="21">
        <v>1232.3900000000001</v>
      </c>
    </row>
    <row r="477" spans="2:7" x14ac:dyDescent="0.25">
      <c r="B477" s="19">
        <v>41814</v>
      </c>
      <c r="C477" s="20">
        <v>2</v>
      </c>
      <c r="D477" s="18" t="s">
        <v>11</v>
      </c>
      <c r="E477" s="18" t="s">
        <v>23</v>
      </c>
      <c r="F477" s="18" t="s">
        <v>30</v>
      </c>
      <c r="G477" s="21">
        <v>2016.36</v>
      </c>
    </row>
    <row r="478" spans="2:7" x14ac:dyDescent="0.25">
      <c r="B478" s="19">
        <v>41385</v>
      </c>
      <c r="C478" s="20">
        <v>2</v>
      </c>
      <c r="D478" s="18" t="s">
        <v>11</v>
      </c>
      <c r="E478" s="18" t="s">
        <v>23</v>
      </c>
      <c r="F478" s="18" t="s">
        <v>20</v>
      </c>
      <c r="G478" s="21">
        <v>545.82000000000005</v>
      </c>
    </row>
    <row r="479" spans="2:7" x14ac:dyDescent="0.25">
      <c r="B479" s="19">
        <v>41698</v>
      </c>
      <c r="C479" s="20">
        <v>1</v>
      </c>
      <c r="D479" s="18" t="s">
        <v>10</v>
      </c>
      <c r="E479" s="18" t="s">
        <v>28</v>
      </c>
      <c r="F479" s="18" t="s">
        <v>30</v>
      </c>
      <c r="G479" s="21">
        <v>853.91</v>
      </c>
    </row>
    <row r="480" spans="2:7" x14ac:dyDescent="0.25">
      <c r="B480" s="19">
        <v>41284</v>
      </c>
      <c r="C480" s="20">
        <v>1</v>
      </c>
      <c r="D480" s="18" t="s">
        <v>25</v>
      </c>
      <c r="E480" s="18" t="s">
        <v>26</v>
      </c>
      <c r="F480" s="18" t="s">
        <v>27</v>
      </c>
      <c r="G480" s="21">
        <v>684.03</v>
      </c>
    </row>
    <row r="481" spans="2:7" x14ac:dyDescent="0.25">
      <c r="B481" s="19">
        <v>41710</v>
      </c>
      <c r="C481" s="20">
        <v>1</v>
      </c>
      <c r="D481" s="18" t="s">
        <v>11</v>
      </c>
      <c r="E481" s="18" t="s">
        <v>23</v>
      </c>
      <c r="F481" s="18" t="s">
        <v>22</v>
      </c>
      <c r="G481" s="21">
        <v>770.5</v>
      </c>
    </row>
    <row r="482" spans="2:7" x14ac:dyDescent="0.25">
      <c r="B482" s="19">
        <v>41575</v>
      </c>
      <c r="C482" s="20">
        <v>4</v>
      </c>
      <c r="D482" s="18" t="s">
        <v>25</v>
      </c>
      <c r="E482" s="18" t="s">
        <v>26</v>
      </c>
      <c r="F482" s="18" t="s">
        <v>30</v>
      </c>
      <c r="G482" s="21">
        <v>1237.24</v>
      </c>
    </row>
    <row r="483" spans="2:7" x14ac:dyDescent="0.25">
      <c r="B483" s="19">
        <v>41546</v>
      </c>
      <c r="C483" s="20">
        <v>3</v>
      </c>
      <c r="D483" s="18" t="s">
        <v>10</v>
      </c>
      <c r="E483" s="18" t="s">
        <v>28</v>
      </c>
      <c r="F483" s="18" t="s">
        <v>33</v>
      </c>
      <c r="G483" s="21">
        <v>843.56</v>
      </c>
    </row>
    <row r="484" spans="2:7" x14ac:dyDescent="0.25">
      <c r="B484" s="19">
        <v>41943</v>
      </c>
      <c r="C484" s="20">
        <v>4</v>
      </c>
      <c r="D484" s="18" t="s">
        <v>9</v>
      </c>
      <c r="E484" s="18" t="s">
        <v>26</v>
      </c>
      <c r="F484" s="18" t="s">
        <v>32</v>
      </c>
      <c r="G484" s="21">
        <v>1410.65</v>
      </c>
    </row>
    <row r="485" spans="2:7" x14ac:dyDescent="0.25">
      <c r="B485" s="19">
        <v>41468</v>
      </c>
      <c r="C485" s="20">
        <v>3</v>
      </c>
      <c r="D485" s="18" t="s">
        <v>8</v>
      </c>
      <c r="E485" s="18" t="s">
        <v>23</v>
      </c>
      <c r="F485" s="18" t="s">
        <v>24</v>
      </c>
      <c r="G485" s="21">
        <v>1808.81</v>
      </c>
    </row>
    <row r="486" spans="2:7" x14ac:dyDescent="0.25">
      <c r="B486" s="19">
        <v>41915</v>
      </c>
      <c r="C486" s="20">
        <v>4</v>
      </c>
      <c r="D486" s="18" t="s">
        <v>18</v>
      </c>
      <c r="E486" s="18" t="s">
        <v>19</v>
      </c>
      <c r="F486" s="18" t="s">
        <v>27</v>
      </c>
      <c r="G486" s="21">
        <v>1089.21</v>
      </c>
    </row>
    <row r="487" spans="2:7" x14ac:dyDescent="0.25">
      <c r="B487" s="19">
        <v>41664</v>
      </c>
      <c r="C487" s="20">
        <v>1</v>
      </c>
      <c r="D487" s="18" t="s">
        <v>9</v>
      </c>
      <c r="E487" s="18" t="s">
        <v>26</v>
      </c>
      <c r="F487" s="18" t="s">
        <v>22</v>
      </c>
      <c r="G487" s="21">
        <v>126.79</v>
      </c>
    </row>
    <row r="488" spans="2:7" x14ac:dyDescent="0.25">
      <c r="B488" s="19">
        <v>41813</v>
      </c>
      <c r="C488" s="20">
        <v>2</v>
      </c>
      <c r="D488" s="18" t="s">
        <v>8</v>
      </c>
      <c r="E488" s="18" t="s">
        <v>23</v>
      </c>
      <c r="F488" s="18" t="s">
        <v>20</v>
      </c>
      <c r="G488" s="21">
        <v>409.34</v>
      </c>
    </row>
    <row r="489" spans="2:7" x14ac:dyDescent="0.25">
      <c r="B489" s="19">
        <v>41361</v>
      </c>
      <c r="C489" s="20">
        <v>1</v>
      </c>
      <c r="D489" s="18" t="s">
        <v>9</v>
      </c>
      <c r="E489" s="18" t="s">
        <v>26</v>
      </c>
      <c r="F489" s="18" t="s">
        <v>22</v>
      </c>
      <c r="G489" s="21">
        <v>733.07</v>
      </c>
    </row>
    <row r="490" spans="2:7" x14ac:dyDescent="0.25">
      <c r="B490" s="19">
        <v>41389</v>
      </c>
      <c r="C490" s="20">
        <v>2</v>
      </c>
      <c r="D490" s="18" t="s">
        <v>18</v>
      </c>
      <c r="E490" s="18" t="s">
        <v>19</v>
      </c>
      <c r="F490" s="18" t="s">
        <v>20</v>
      </c>
      <c r="G490" s="21">
        <v>537.69000000000005</v>
      </c>
    </row>
    <row r="491" spans="2:7" x14ac:dyDescent="0.25">
      <c r="B491" s="19">
        <v>41818</v>
      </c>
      <c r="C491" s="20">
        <v>2</v>
      </c>
      <c r="D491" s="18" t="s">
        <v>25</v>
      </c>
      <c r="E491" s="18" t="s">
        <v>26</v>
      </c>
      <c r="F491" s="18" t="s">
        <v>24</v>
      </c>
      <c r="G491" s="21">
        <v>218.85</v>
      </c>
    </row>
    <row r="492" spans="2:7" x14ac:dyDescent="0.25">
      <c r="B492" s="19">
        <v>41356</v>
      </c>
      <c r="C492" s="20">
        <v>1</v>
      </c>
      <c r="D492" s="18" t="s">
        <v>8</v>
      </c>
      <c r="E492" s="18" t="s">
        <v>23</v>
      </c>
      <c r="F492" s="18" t="s">
        <v>20</v>
      </c>
      <c r="G492" s="21">
        <v>486.95</v>
      </c>
    </row>
    <row r="493" spans="2:7" x14ac:dyDescent="0.25">
      <c r="B493" s="19">
        <v>41316</v>
      </c>
      <c r="C493" s="20">
        <v>1</v>
      </c>
      <c r="D493" s="18" t="s">
        <v>9</v>
      </c>
      <c r="E493" s="18" t="s">
        <v>26</v>
      </c>
      <c r="F493" s="18" t="s">
        <v>24</v>
      </c>
      <c r="G493" s="21">
        <v>1118.52</v>
      </c>
    </row>
    <row r="494" spans="2:7" x14ac:dyDescent="0.25">
      <c r="B494" s="19">
        <v>41309</v>
      </c>
      <c r="C494" s="20">
        <v>1</v>
      </c>
      <c r="D494" s="18" t="s">
        <v>9</v>
      </c>
      <c r="E494" s="18" t="s">
        <v>26</v>
      </c>
      <c r="F494" s="18" t="s">
        <v>20</v>
      </c>
      <c r="G494" s="21">
        <v>792.68</v>
      </c>
    </row>
    <row r="495" spans="2:7" x14ac:dyDescent="0.25">
      <c r="B495" s="19">
        <v>41573</v>
      </c>
      <c r="C495" s="20">
        <v>4</v>
      </c>
      <c r="D495" s="18" t="s">
        <v>10</v>
      </c>
      <c r="E495" s="18" t="s">
        <v>28</v>
      </c>
      <c r="F495" s="18" t="s">
        <v>22</v>
      </c>
      <c r="G495" s="21">
        <v>1614.51</v>
      </c>
    </row>
    <row r="496" spans="2:7" x14ac:dyDescent="0.25">
      <c r="B496" s="19">
        <v>41582</v>
      </c>
      <c r="C496" s="20">
        <v>4</v>
      </c>
      <c r="D496" s="18" t="s">
        <v>21</v>
      </c>
      <c r="E496" s="18" t="s">
        <v>19</v>
      </c>
      <c r="F496" s="18" t="s">
        <v>22</v>
      </c>
      <c r="G496" s="21">
        <v>547.44000000000005</v>
      </c>
    </row>
    <row r="497" spans="2:7" x14ac:dyDescent="0.25">
      <c r="B497" s="19">
        <v>41791</v>
      </c>
      <c r="C497" s="20">
        <v>2</v>
      </c>
      <c r="D497" s="18" t="s">
        <v>18</v>
      </c>
      <c r="E497" s="18" t="s">
        <v>19</v>
      </c>
      <c r="F497" s="18" t="s">
        <v>32</v>
      </c>
      <c r="G497" s="21">
        <v>177.62</v>
      </c>
    </row>
    <row r="498" spans="2:7" x14ac:dyDescent="0.25">
      <c r="B498" s="19">
        <v>41438</v>
      </c>
      <c r="C498" s="20">
        <v>2</v>
      </c>
      <c r="D498" s="18" t="s">
        <v>31</v>
      </c>
      <c r="E498" s="18" t="s">
        <v>28</v>
      </c>
      <c r="F498" s="18" t="s">
        <v>22</v>
      </c>
      <c r="G498" s="21">
        <v>662.68</v>
      </c>
    </row>
    <row r="499" spans="2:7" x14ac:dyDescent="0.25">
      <c r="B499" s="19">
        <v>41688</v>
      </c>
      <c r="C499" s="20">
        <v>1</v>
      </c>
      <c r="D499" s="18" t="s">
        <v>11</v>
      </c>
      <c r="E499" s="18" t="s">
        <v>23</v>
      </c>
      <c r="F499" s="18" t="s">
        <v>29</v>
      </c>
      <c r="G499" s="21">
        <v>3333.04</v>
      </c>
    </row>
    <row r="500" spans="2:7" x14ac:dyDescent="0.25">
      <c r="B500" s="19">
        <v>41934</v>
      </c>
      <c r="C500" s="20">
        <v>4</v>
      </c>
      <c r="D500" s="18" t="s">
        <v>31</v>
      </c>
      <c r="E500" s="18" t="s">
        <v>28</v>
      </c>
      <c r="F500" s="18" t="s">
        <v>27</v>
      </c>
      <c r="G500" s="21">
        <v>161.47999999999999</v>
      </c>
    </row>
    <row r="501" spans="2:7" x14ac:dyDescent="0.25">
      <c r="B501" s="19">
        <v>41859</v>
      </c>
      <c r="C501" s="20">
        <v>3</v>
      </c>
      <c r="D501" s="18" t="s">
        <v>10</v>
      </c>
      <c r="E501" s="18" t="s">
        <v>28</v>
      </c>
      <c r="F501" s="18" t="s">
        <v>27</v>
      </c>
      <c r="G501" s="21">
        <v>1552.51</v>
      </c>
    </row>
    <row r="502" spans="2:7" x14ac:dyDescent="0.25">
      <c r="B502" s="19">
        <v>41867</v>
      </c>
      <c r="C502" s="20">
        <v>3</v>
      </c>
      <c r="D502" s="18" t="s">
        <v>10</v>
      </c>
      <c r="E502" s="18" t="s">
        <v>28</v>
      </c>
      <c r="F502" s="18" t="s">
        <v>30</v>
      </c>
      <c r="G502" s="21">
        <v>2475.64</v>
      </c>
    </row>
    <row r="503" spans="2:7" x14ac:dyDescent="0.25">
      <c r="B503" s="19">
        <v>41890</v>
      </c>
      <c r="C503" s="20">
        <v>3</v>
      </c>
      <c r="D503" s="18" t="s">
        <v>25</v>
      </c>
      <c r="E503" s="18" t="s">
        <v>26</v>
      </c>
      <c r="F503" s="18" t="s">
        <v>24</v>
      </c>
      <c r="G503" s="21">
        <v>394.41</v>
      </c>
    </row>
    <row r="504" spans="2:7" x14ac:dyDescent="0.25">
      <c r="B504" s="19">
        <v>41992</v>
      </c>
      <c r="C504" s="20">
        <v>4</v>
      </c>
      <c r="D504" s="18" t="s">
        <v>9</v>
      </c>
      <c r="E504" s="18" t="s">
        <v>26</v>
      </c>
      <c r="F504" s="18" t="s">
        <v>29</v>
      </c>
      <c r="G504" s="21">
        <v>3570.84</v>
      </c>
    </row>
    <row r="505" spans="2:7" x14ac:dyDescent="0.25">
      <c r="B505" s="19">
        <v>41474</v>
      </c>
      <c r="C505" s="20">
        <v>3</v>
      </c>
      <c r="D505" s="18" t="s">
        <v>10</v>
      </c>
      <c r="E505" s="18" t="s">
        <v>28</v>
      </c>
      <c r="F505" s="18" t="s">
        <v>24</v>
      </c>
      <c r="G505" s="21">
        <v>780.79</v>
      </c>
    </row>
    <row r="506" spans="2:7" x14ac:dyDescent="0.25">
      <c r="B506" s="19">
        <v>41711</v>
      </c>
      <c r="C506" s="20">
        <v>1</v>
      </c>
      <c r="D506" s="18" t="s">
        <v>9</v>
      </c>
      <c r="E506" s="18" t="s">
        <v>26</v>
      </c>
      <c r="F506" s="18" t="s">
        <v>24</v>
      </c>
      <c r="G506" s="21">
        <v>241.67</v>
      </c>
    </row>
    <row r="507" spans="2:7" x14ac:dyDescent="0.25">
      <c r="B507" s="19">
        <v>41766</v>
      </c>
      <c r="C507" s="20">
        <v>2</v>
      </c>
      <c r="D507" s="18" t="s">
        <v>25</v>
      </c>
      <c r="E507" s="18" t="s">
        <v>26</v>
      </c>
      <c r="F507" s="18" t="s">
        <v>33</v>
      </c>
      <c r="G507" s="21">
        <v>324</v>
      </c>
    </row>
    <row r="508" spans="2:7" x14ac:dyDescent="0.25">
      <c r="B508" s="19">
        <v>41300</v>
      </c>
      <c r="C508" s="20">
        <v>1</v>
      </c>
      <c r="D508" s="18" t="s">
        <v>10</v>
      </c>
      <c r="E508" s="18" t="s">
        <v>28</v>
      </c>
      <c r="F508" s="18" t="s">
        <v>20</v>
      </c>
      <c r="G508" s="21">
        <v>788.94</v>
      </c>
    </row>
    <row r="509" spans="2:7" x14ac:dyDescent="0.25">
      <c r="B509" s="19">
        <v>41527</v>
      </c>
      <c r="C509" s="20">
        <v>3</v>
      </c>
      <c r="D509" s="18" t="s">
        <v>25</v>
      </c>
      <c r="E509" s="18" t="s">
        <v>26</v>
      </c>
      <c r="F509" s="18" t="s">
        <v>27</v>
      </c>
      <c r="G509" s="21">
        <v>1650.64</v>
      </c>
    </row>
    <row r="510" spans="2:7" x14ac:dyDescent="0.25">
      <c r="B510" s="19">
        <v>41767</v>
      </c>
      <c r="C510" s="20">
        <v>2</v>
      </c>
      <c r="D510" s="18" t="s">
        <v>11</v>
      </c>
      <c r="E510" s="18" t="s">
        <v>23</v>
      </c>
      <c r="F510" s="18" t="s">
        <v>20</v>
      </c>
      <c r="G510" s="21">
        <v>380.22</v>
      </c>
    </row>
    <row r="511" spans="2:7" x14ac:dyDescent="0.25">
      <c r="B511" s="19">
        <v>41430</v>
      </c>
      <c r="C511" s="20">
        <v>2</v>
      </c>
      <c r="D511" s="18" t="s">
        <v>21</v>
      </c>
      <c r="E511" s="18" t="s">
        <v>19</v>
      </c>
      <c r="F511" s="18" t="s">
        <v>32</v>
      </c>
      <c r="G511" s="21">
        <v>509.21</v>
      </c>
    </row>
    <row r="512" spans="2:7" x14ac:dyDescent="0.25">
      <c r="B512" s="19">
        <v>41772</v>
      </c>
      <c r="C512" s="20">
        <v>2</v>
      </c>
      <c r="D512" s="18" t="s">
        <v>9</v>
      </c>
      <c r="E512" s="18" t="s">
        <v>26</v>
      </c>
      <c r="F512" s="18" t="s">
        <v>20</v>
      </c>
      <c r="G512" s="21">
        <v>340.49</v>
      </c>
    </row>
    <row r="513" spans="2:7" x14ac:dyDescent="0.25">
      <c r="B513" s="19">
        <v>41620</v>
      </c>
      <c r="C513" s="20">
        <v>4</v>
      </c>
      <c r="D513" s="18" t="s">
        <v>21</v>
      </c>
      <c r="E513" s="18" t="s">
        <v>19</v>
      </c>
      <c r="F513" s="18" t="s">
        <v>20</v>
      </c>
      <c r="G513" s="21">
        <v>120.48</v>
      </c>
    </row>
    <row r="514" spans="2:7" x14ac:dyDescent="0.25">
      <c r="B514" s="19">
        <v>41944</v>
      </c>
      <c r="C514" s="20">
        <v>4</v>
      </c>
      <c r="D514" s="18" t="s">
        <v>9</v>
      </c>
      <c r="E514" s="18" t="s">
        <v>26</v>
      </c>
      <c r="F514" s="18" t="s">
        <v>24</v>
      </c>
      <c r="G514" s="21">
        <v>903.05</v>
      </c>
    </row>
    <row r="515" spans="2:7" x14ac:dyDescent="0.25">
      <c r="B515" s="19">
        <v>41407</v>
      </c>
      <c r="C515" s="20">
        <v>2</v>
      </c>
      <c r="D515" s="18" t="s">
        <v>9</v>
      </c>
      <c r="E515" s="18" t="s">
        <v>26</v>
      </c>
      <c r="F515" s="18" t="s">
        <v>20</v>
      </c>
      <c r="G515" s="21">
        <v>252.3</v>
      </c>
    </row>
    <row r="516" spans="2:7" x14ac:dyDescent="0.25">
      <c r="B516" s="19">
        <v>41988</v>
      </c>
      <c r="C516" s="20">
        <v>4</v>
      </c>
      <c r="D516" s="18" t="s">
        <v>8</v>
      </c>
      <c r="E516" s="18" t="s">
        <v>23</v>
      </c>
      <c r="F516" s="18" t="s">
        <v>33</v>
      </c>
      <c r="G516" s="21">
        <v>1763.57</v>
      </c>
    </row>
    <row r="517" spans="2:7" x14ac:dyDescent="0.25">
      <c r="B517" s="19">
        <v>41594</v>
      </c>
      <c r="C517" s="20">
        <v>4</v>
      </c>
      <c r="D517" s="18" t="s">
        <v>21</v>
      </c>
      <c r="E517" s="18" t="s">
        <v>19</v>
      </c>
      <c r="F517" s="18" t="s">
        <v>32</v>
      </c>
      <c r="G517" s="21">
        <v>1188.17</v>
      </c>
    </row>
    <row r="518" spans="2:7" x14ac:dyDescent="0.25">
      <c r="B518" s="19">
        <v>41892</v>
      </c>
      <c r="C518" s="20">
        <v>3</v>
      </c>
      <c r="D518" s="18" t="s">
        <v>21</v>
      </c>
      <c r="E518" s="18" t="s">
        <v>19</v>
      </c>
      <c r="F518" s="18" t="s">
        <v>24</v>
      </c>
      <c r="G518" s="21">
        <v>278.98</v>
      </c>
    </row>
    <row r="519" spans="2:7" x14ac:dyDescent="0.25">
      <c r="B519" s="19">
        <v>41664</v>
      </c>
      <c r="C519" s="20">
        <v>1</v>
      </c>
      <c r="D519" s="18" t="s">
        <v>9</v>
      </c>
      <c r="E519" s="18" t="s">
        <v>26</v>
      </c>
      <c r="F519" s="18" t="s">
        <v>30</v>
      </c>
      <c r="G519" s="21">
        <v>424.1</v>
      </c>
    </row>
    <row r="520" spans="2:7" x14ac:dyDescent="0.25">
      <c r="B520" s="19">
        <v>41510</v>
      </c>
      <c r="C520" s="20">
        <v>3</v>
      </c>
      <c r="D520" s="18" t="s">
        <v>11</v>
      </c>
      <c r="E520" s="18" t="s">
        <v>23</v>
      </c>
      <c r="F520" s="18" t="s">
        <v>33</v>
      </c>
      <c r="G520" s="21">
        <v>902.03</v>
      </c>
    </row>
    <row r="521" spans="2:7" x14ac:dyDescent="0.25">
      <c r="B521" s="19">
        <v>41586</v>
      </c>
      <c r="C521" s="20">
        <v>4</v>
      </c>
      <c r="D521" s="18" t="s">
        <v>11</v>
      </c>
      <c r="E521" s="18" t="s">
        <v>23</v>
      </c>
      <c r="F521" s="18" t="s">
        <v>30</v>
      </c>
      <c r="G521" s="21">
        <v>552.51</v>
      </c>
    </row>
    <row r="522" spans="2:7" x14ac:dyDescent="0.25">
      <c r="B522" s="19">
        <v>41782</v>
      </c>
      <c r="C522" s="20">
        <v>2</v>
      </c>
      <c r="D522" s="18" t="s">
        <v>11</v>
      </c>
      <c r="E522" s="18" t="s">
        <v>23</v>
      </c>
      <c r="F522" s="18" t="s">
        <v>30</v>
      </c>
      <c r="G522" s="21">
        <v>1555.04</v>
      </c>
    </row>
    <row r="523" spans="2:7" x14ac:dyDescent="0.25">
      <c r="B523" s="19">
        <v>41629</v>
      </c>
      <c r="C523" s="20">
        <v>4</v>
      </c>
      <c r="D523" s="18" t="s">
        <v>10</v>
      </c>
      <c r="E523" s="18" t="s">
        <v>28</v>
      </c>
      <c r="F523" s="18" t="s">
        <v>29</v>
      </c>
      <c r="G523" s="21">
        <v>2339.6</v>
      </c>
    </row>
    <row r="524" spans="2:7" x14ac:dyDescent="0.25">
      <c r="B524" s="19">
        <v>41403</v>
      </c>
      <c r="C524" s="20">
        <v>2</v>
      </c>
      <c r="D524" s="18" t="s">
        <v>10</v>
      </c>
      <c r="E524" s="18" t="s">
        <v>28</v>
      </c>
      <c r="F524" s="18" t="s">
        <v>20</v>
      </c>
      <c r="G524" s="21">
        <v>328.92</v>
      </c>
    </row>
    <row r="525" spans="2:7" x14ac:dyDescent="0.25">
      <c r="B525" s="19">
        <v>41297</v>
      </c>
      <c r="C525" s="20">
        <v>1</v>
      </c>
      <c r="D525" s="18" t="s">
        <v>31</v>
      </c>
      <c r="E525" s="18" t="s">
        <v>28</v>
      </c>
      <c r="F525" s="18" t="s">
        <v>20</v>
      </c>
      <c r="G525" s="21">
        <v>312.16000000000003</v>
      </c>
    </row>
    <row r="526" spans="2:7" x14ac:dyDescent="0.25">
      <c r="B526" s="19">
        <v>41645</v>
      </c>
      <c r="C526" s="20">
        <v>1</v>
      </c>
      <c r="D526" s="18" t="s">
        <v>25</v>
      </c>
      <c r="E526" s="18" t="s">
        <v>26</v>
      </c>
      <c r="F526" s="18" t="s">
        <v>32</v>
      </c>
      <c r="G526" s="21">
        <v>941.44</v>
      </c>
    </row>
    <row r="527" spans="2:7" x14ac:dyDescent="0.25">
      <c r="B527" s="19">
        <v>41463</v>
      </c>
      <c r="C527" s="20">
        <v>3</v>
      </c>
      <c r="D527" s="18" t="s">
        <v>21</v>
      </c>
      <c r="E527" s="18" t="s">
        <v>19</v>
      </c>
      <c r="F527" s="18" t="s">
        <v>33</v>
      </c>
      <c r="G527" s="21">
        <v>2907.36</v>
      </c>
    </row>
    <row r="528" spans="2:7" x14ac:dyDescent="0.25">
      <c r="B528" s="19">
        <v>41917</v>
      </c>
      <c r="C528" s="20">
        <v>4</v>
      </c>
      <c r="D528" s="18" t="s">
        <v>10</v>
      </c>
      <c r="E528" s="18" t="s">
        <v>28</v>
      </c>
      <c r="F528" s="18" t="s">
        <v>30</v>
      </c>
      <c r="G528" s="21">
        <v>2418.02</v>
      </c>
    </row>
    <row r="529" spans="2:7" x14ac:dyDescent="0.25">
      <c r="B529" s="19">
        <v>42003</v>
      </c>
      <c r="C529" s="20">
        <v>4</v>
      </c>
      <c r="D529" s="18" t="s">
        <v>31</v>
      </c>
      <c r="E529" s="18" t="s">
        <v>28</v>
      </c>
      <c r="F529" s="18" t="s">
        <v>33</v>
      </c>
      <c r="G529" s="21">
        <v>1700.22</v>
      </c>
    </row>
    <row r="530" spans="2:7" x14ac:dyDescent="0.25">
      <c r="B530" s="19">
        <v>41892</v>
      </c>
      <c r="C530" s="20">
        <v>3</v>
      </c>
      <c r="D530" s="18" t="s">
        <v>9</v>
      </c>
      <c r="E530" s="18" t="s">
        <v>26</v>
      </c>
      <c r="F530" s="18" t="s">
        <v>20</v>
      </c>
      <c r="G530" s="21">
        <v>707.19</v>
      </c>
    </row>
    <row r="531" spans="2:7" x14ac:dyDescent="0.25">
      <c r="B531" s="19">
        <v>41410</v>
      </c>
      <c r="C531" s="20">
        <v>2</v>
      </c>
      <c r="D531" s="18" t="s">
        <v>21</v>
      </c>
      <c r="E531" s="18" t="s">
        <v>19</v>
      </c>
      <c r="F531" s="18" t="s">
        <v>33</v>
      </c>
      <c r="G531" s="21">
        <v>1254.32</v>
      </c>
    </row>
    <row r="532" spans="2:7" x14ac:dyDescent="0.25">
      <c r="B532" s="19">
        <v>41700</v>
      </c>
      <c r="C532" s="20">
        <v>1</v>
      </c>
      <c r="D532" s="18" t="s">
        <v>21</v>
      </c>
      <c r="E532" s="18" t="s">
        <v>19</v>
      </c>
      <c r="F532" s="18" t="s">
        <v>30</v>
      </c>
      <c r="G532" s="21">
        <v>2007.82</v>
      </c>
    </row>
    <row r="533" spans="2:7" x14ac:dyDescent="0.25">
      <c r="B533" s="19">
        <v>41663</v>
      </c>
      <c r="C533" s="20">
        <v>1</v>
      </c>
      <c r="D533" s="18" t="s">
        <v>25</v>
      </c>
      <c r="E533" s="18" t="s">
        <v>26</v>
      </c>
      <c r="F533" s="18" t="s">
        <v>30</v>
      </c>
      <c r="G533" s="21">
        <v>282.25</v>
      </c>
    </row>
    <row r="534" spans="2:7" x14ac:dyDescent="0.25">
      <c r="B534" s="19">
        <v>41905</v>
      </c>
      <c r="C534" s="20">
        <v>3</v>
      </c>
      <c r="D534" s="18" t="s">
        <v>31</v>
      </c>
      <c r="E534" s="18" t="s">
        <v>28</v>
      </c>
      <c r="F534" s="18" t="s">
        <v>20</v>
      </c>
      <c r="G534" s="21">
        <v>438.41</v>
      </c>
    </row>
    <row r="535" spans="2:7" x14ac:dyDescent="0.25">
      <c r="B535" s="19">
        <v>41642</v>
      </c>
      <c r="C535" s="20">
        <v>1</v>
      </c>
      <c r="D535" s="18" t="s">
        <v>21</v>
      </c>
      <c r="E535" s="18" t="s">
        <v>19</v>
      </c>
      <c r="F535" s="18" t="s">
        <v>27</v>
      </c>
      <c r="G535" s="21">
        <v>1119.3</v>
      </c>
    </row>
    <row r="536" spans="2:7" x14ac:dyDescent="0.25">
      <c r="B536" s="19">
        <v>41909</v>
      </c>
      <c r="C536" s="20">
        <v>3</v>
      </c>
      <c r="D536" s="18" t="s">
        <v>18</v>
      </c>
      <c r="E536" s="18" t="s">
        <v>19</v>
      </c>
      <c r="F536" s="18" t="s">
        <v>29</v>
      </c>
      <c r="G536" s="21">
        <v>2271.7800000000002</v>
      </c>
    </row>
    <row r="537" spans="2:7" x14ac:dyDescent="0.25">
      <c r="B537" s="19">
        <v>41419</v>
      </c>
      <c r="C537" s="20">
        <v>2</v>
      </c>
      <c r="D537" s="18" t="s">
        <v>31</v>
      </c>
      <c r="E537" s="18" t="s">
        <v>28</v>
      </c>
      <c r="F537" s="18" t="s">
        <v>27</v>
      </c>
      <c r="G537" s="21">
        <v>618.34</v>
      </c>
    </row>
    <row r="538" spans="2:7" x14ac:dyDescent="0.25">
      <c r="B538" s="19">
        <v>41412</v>
      </c>
      <c r="C538" s="20">
        <v>2</v>
      </c>
      <c r="D538" s="18" t="s">
        <v>21</v>
      </c>
      <c r="E538" s="18" t="s">
        <v>19</v>
      </c>
      <c r="F538" s="18" t="s">
        <v>33</v>
      </c>
      <c r="G538" s="21">
        <v>1422.45</v>
      </c>
    </row>
    <row r="539" spans="2:7" x14ac:dyDescent="0.25">
      <c r="B539" s="19">
        <v>41568</v>
      </c>
      <c r="C539" s="20">
        <v>4</v>
      </c>
      <c r="D539" s="18" t="s">
        <v>21</v>
      </c>
      <c r="E539" s="18" t="s">
        <v>19</v>
      </c>
      <c r="F539" s="18" t="s">
        <v>27</v>
      </c>
      <c r="G539" s="21">
        <v>1903.18</v>
      </c>
    </row>
    <row r="540" spans="2:7" x14ac:dyDescent="0.25">
      <c r="B540" s="19">
        <v>41701</v>
      </c>
      <c r="C540" s="20">
        <v>1</v>
      </c>
      <c r="D540" s="18" t="s">
        <v>9</v>
      </c>
      <c r="E540" s="18" t="s">
        <v>26</v>
      </c>
      <c r="F540" s="18" t="s">
        <v>22</v>
      </c>
      <c r="G540" s="21">
        <v>411.94</v>
      </c>
    </row>
    <row r="541" spans="2:7" x14ac:dyDescent="0.25">
      <c r="B541" s="19">
        <v>41535</v>
      </c>
      <c r="C541" s="20">
        <v>3</v>
      </c>
      <c r="D541" s="18" t="s">
        <v>25</v>
      </c>
      <c r="E541" s="18" t="s">
        <v>26</v>
      </c>
      <c r="F541" s="18" t="s">
        <v>24</v>
      </c>
      <c r="G541" s="21">
        <v>146.86000000000001</v>
      </c>
    </row>
    <row r="542" spans="2:7" x14ac:dyDescent="0.25">
      <c r="B542" s="19">
        <v>41471</v>
      </c>
      <c r="C542" s="20">
        <v>3</v>
      </c>
      <c r="D542" s="18" t="s">
        <v>21</v>
      </c>
      <c r="E542" s="18" t="s">
        <v>19</v>
      </c>
      <c r="F542" s="18" t="s">
        <v>29</v>
      </c>
      <c r="G542" s="21">
        <v>2916.52</v>
      </c>
    </row>
    <row r="543" spans="2:7" x14ac:dyDescent="0.25">
      <c r="B543" s="19">
        <v>41354</v>
      </c>
      <c r="C543" s="20">
        <v>1</v>
      </c>
      <c r="D543" s="18" t="s">
        <v>21</v>
      </c>
      <c r="E543" s="18" t="s">
        <v>19</v>
      </c>
      <c r="F543" s="18" t="s">
        <v>22</v>
      </c>
      <c r="G543" s="21">
        <v>647.72</v>
      </c>
    </row>
    <row r="544" spans="2:7" x14ac:dyDescent="0.25">
      <c r="B544" s="19">
        <v>41599</v>
      </c>
      <c r="C544" s="20">
        <v>4</v>
      </c>
      <c r="D544" s="18" t="s">
        <v>31</v>
      </c>
      <c r="E544" s="18" t="s">
        <v>28</v>
      </c>
      <c r="F544" s="18" t="s">
        <v>29</v>
      </c>
      <c r="G544" s="21">
        <v>890.08</v>
      </c>
    </row>
    <row r="545" spans="2:7" x14ac:dyDescent="0.25">
      <c r="B545" s="19">
        <v>41482</v>
      </c>
      <c r="C545" s="20">
        <v>3</v>
      </c>
      <c r="D545" s="18" t="s">
        <v>9</v>
      </c>
      <c r="E545" s="18" t="s">
        <v>26</v>
      </c>
      <c r="F545" s="18" t="s">
        <v>29</v>
      </c>
      <c r="G545" s="21">
        <v>1082.32</v>
      </c>
    </row>
    <row r="546" spans="2:7" x14ac:dyDescent="0.25">
      <c r="B546" s="19">
        <v>41571</v>
      </c>
      <c r="C546" s="20">
        <v>4</v>
      </c>
      <c r="D546" s="18" t="s">
        <v>25</v>
      </c>
      <c r="E546" s="18" t="s">
        <v>26</v>
      </c>
      <c r="F546" s="18" t="s">
        <v>32</v>
      </c>
      <c r="G546" s="21">
        <v>1536.94</v>
      </c>
    </row>
    <row r="547" spans="2:7" x14ac:dyDescent="0.25">
      <c r="B547" s="19">
        <v>41715</v>
      </c>
      <c r="C547" s="20">
        <v>1</v>
      </c>
      <c r="D547" s="18" t="s">
        <v>18</v>
      </c>
      <c r="E547" s="18" t="s">
        <v>19</v>
      </c>
      <c r="F547" s="18" t="s">
        <v>32</v>
      </c>
      <c r="G547" s="21">
        <v>747.3</v>
      </c>
    </row>
    <row r="548" spans="2:7" x14ac:dyDescent="0.25">
      <c r="B548" s="19">
        <v>41917</v>
      </c>
      <c r="C548" s="20">
        <v>4</v>
      </c>
      <c r="D548" s="18" t="s">
        <v>25</v>
      </c>
      <c r="E548" s="18" t="s">
        <v>26</v>
      </c>
      <c r="F548" s="18" t="s">
        <v>27</v>
      </c>
      <c r="G548" s="21">
        <v>641.13</v>
      </c>
    </row>
    <row r="549" spans="2:7" x14ac:dyDescent="0.25">
      <c r="B549" s="19">
        <v>41834</v>
      </c>
      <c r="C549" s="20">
        <v>3</v>
      </c>
      <c r="D549" s="18" t="s">
        <v>11</v>
      </c>
      <c r="E549" s="18" t="s">
        <v>23</v>
      </c>
      <c r="F549" s="18" t="s">
        <v>22</v>
      </c>
      <c r="G549" s="21">
        <v>377.61</v>
      </c>
    </row>
    <row r="550" spans="2:7" x14ac:dyDescent="0.25">
      <c r="B550" s="19">
        <v>41298</v>
      </c>
      <c r="C550" s="20">
        <v>1</v>
      </c>
      <c r="D550" s="18" t="s">
        <v>31</v>
      </c>
      <c r="E550" s="18" t="s">
        <v>28</v>
      </c>
      <c r="F550" s="18" t="s">
        <v>24</v>
      </c>
      <c r="G550" s="21">
        <v>1803.8</v>
      </c>
    </row>
    <row r="551" spans="2:7" x14ac:dyDescent="0.25">
      <c r="B551" s="19">
        <v>41312</v>
      </c>
      <c r="C551" s="20">
        <v>1</v>
      </c>
      <c r="D551" s="18" t="s">
        <v>8</v>
      </c>
      <c r="E551" s="18" t="s">
        <v>23</v>
      </c>
      <c r="F551" s="18" t="s">
        <v>20</v>
      </c>
      <c r="G551" s="21">
        <v>236.39</v>
      </c>
    </row>
    <row r="552" spans="2:7" x14ac:dyDescent="0.25">
      <c r="B552" s="19">
        <v>41968</v>
      </c>
      <c r="C552" s="20">
        <v>4</v>
      </c>
      <c r="D552" s="18" t="s">
        <v>10</v>
      </c>
      <c r="E552" s="18" t="s">
        <v>28</v>
      </c>
      <c r="F552" s="18" t="s">
        <v>29</v>
      </c>
      <c r="G552" s="21">
        <v>2269.14</v>
      </c>
    </row>
    <row r="553" spans="2:7" x14ac:dyDescent="0.25">
      <c r="B553" s="19">
        <v>41927</v>
      </c>
      <c r="C553" s="20">
        <v>4</v>
      </c>
      <c r="D553" s="18" t="s">
        <v>25</v>
      </c>
      <c r="E553" s="18" t="s">
        <v>26</v>
      </c>
      <c r="F553" s="18" t="s">
        <v>20</v>
      </c>
      <c r="G553" s="21">
        <v>447.97</v>
      </c>
    </row>
    <row r="554" spans="2:7" x14ac:dyDescent="0.25">
      <c r="B554" s="19">
        <v>41993</v>
      </c>
      <c r="C554" s="20">
        <v>4</v>
      </c>
      <c r="D554" s="18" t="s">
        <v>31</v>
      </c>
      <c r="E554" s="18" t="s">
        <v>28</v>
      </c>
      <c r="F554" s="18" t="s">
        <v>30</v>
      </c>
      <c r="G554" s="21">
        <v>2740.63</v>
      </c>
    </row>
    <row r="555" spans="2:7" x14ac:dyDescent="0.25">
      <c r="B555" s="19">
        <v>41984</v>
      </c>
      <c r="C555" s="20">
        <v>4</v>
      </c>
      <c r="D555" s="18" t="s">
        <v>10</v>
      </c>
      <c r="E555" s="18" t="s">
        <v>28</v>
      </c>
      <c r="F555" s="18" t="s">
        <v>29</v>
      </c>
      <c r="G555" s="21">
        <v>3006.2</v>
      </c>
    </row>
    <row r="556" spans="2:7" x14ac:dyDescent="0.25">
      <c r="B556" s="19">
        <v>41289</v>
      </c>
      <c r="C556" s="20">
        <v>1</v>
      </c>
      <c r="D556" s="18" t="s">
        <v>10</v>
      </c>
      <c r="E556" s="18" t="s">
        <v>28</v>
      </c>
      <c r="F556" s="18" t="s">
        <v>29</v>
      </c>
      <c r="G556" s="21">
        <v>2136.88</v>
      </c>
    </row>
    <row r="557" spans="2:7" x14ac:dyDescent="0.25">
      <c r="B557" s="19">
        <v>41734</v>
      </c>
      <c r="C557" s="20">
        <v>2</v>
      </c>
      <c r="D557" s="18" t="s">
        <v>18</v>
      </c>
      <c r="E557" s="18" t="s">
        <v>19</v>
      </c>
      <c r="F557" s="18" t="s">
        <v>22</v>
      </c>
      <c r="G557" s="21">
        <v>106.32</v>
      </c>
    </row>
    <row r="558" spans="2:7" x14ac:dyDescent="0.25">
      <c r="B558" s="19">
        <v>41830</v>
      </c>
      <c r="C558" s="20">
        <v>3</v>
      </c>
      <c r="D558" s="18" t="s">
        <v>31</v>
      </c>
      <c r="E558" s="18" t="s">
        <v>28</v>
      </c>
      <c r="F558" s="18" t="s">
        <v>24</v>
      </c>
      <c r="G558" s="21">
        <v>932.7</v>
      </c>
    </row>
    <row r="559" spans="2:7" x14ac:dyDescent="0.25">
      <c r="B559" s="19">
        <v>41418</v>
      </c>
      <c r="C559" s="20">
        <v>2</v>
      </c>
      <c r="D559" s="18" t="s">
        <v>18</v>
      </c>
      <c r="E559" s="18" t="s">
        <v>19</v>
      </c>
      <c r="F559" s="18" t="s">
        <v>30</v>
      </c>
      <c r="G559" s="21">
        <v>2697.94</v>
      </c>
    </row>
    <row r="560" spans="2:7" x14ac:dyDescent="0.25">
      <c r="B560" s="19">
        <v>41915</v>
      </c>
      <c r="C560" s="20">
        <v>4</v>
      </c>
      <c r="D560" s="18" t="s">
        <v>18</v>
      </c>
      <c r="E560" s="18" t="s">
        <v>19</v>
      </c>
      <c r="F560" s="18" t="s">
        <v>22</v>
      </c>
      <c r="G560" s="21">
        <v>205.62</v>
      </c>
    </row>
    <row r="561" spans="2:7" x14ac:dyDescent="0.25">
      <c r="B561" s="19">
        <v>41277</v>
      </c>
      <c r="C561" s="20">
        <v>1</v>
      </c>
      <c r="D561" s="18" t="s">
        <v>21</v>
      </c>
      <c r="E561" s="18" t="s">
        <v>19</v>
      </c>
      <c r="F561" s="18" t="s">
        <v>27</v>
      </c>
      <c r="G561" s="21">
        <v>323.25</v>
      </c>
    </row>
    <row r="562" spans="2:7" x14ac:dyDescent="0.25">
      <c r="B562" s="19">
        <v>41612</v>
      </c>
      <c r="C562" s="20">
        <v>4</v>
      </c>
      <c r="D562" s="18" t="s">
        <v>11</v>
      </c>
      <c r="E562" s="18" t="s">
        <v>23</v>
      </c>
      <c r="F562" s="18" t="s">
        <v>32</v>
      </c>
      <c r="G562" s="21">
        <v>1873.82</v>
      </c>
    </row>
    <row r="563" spans="2:7" x14ac:dyDescent="0.25">
      <c r="B563" s="19">
        <v>41423</v>
      </c>
      <c r="C563" s="20">
        <v>2</v>
      </c>
      <c r="D563" s="18" t="s">
        <v>9</v>
      </c>
      <c r="E563" s="18" t="s">
        <v>26</v>
      </c>
      <c r="F563" s="18" t="s">
        <v>22</v>
      </c>
      <c r="G563" s="21">
        <v>1955.71</v>
      </c>
    </row>
    <row r="564" spans="2:7" x14ac:dyDescent="0.25">
      <c r="B564" s="19">
        <v>41988</v>
      </c>
      <c r="C564" s="20">
        <v>4</v>
      </c>
      <c r="D564" s="18" t="s">
        <v>31</v>
      </c>
      <c r="E564" s="18" t="s">
        <v>28</v>
      </c>
      <c r="F564" s="18" t="s">
        <v>29</v>
      </c>
      <c r="G564" s="21">
        <v>3528.44</v>
      </c>
    </row>
    <row r="565" spans="2:7" x14ac:dyDescent="0.25">
      <c r="B565" s="19">
        <v>41506</v>
      </c>
      <c r="C565" s="20">
        <v>3</v>
      </c>
      <c r="D565" s="18" t="s">
        <v>21</v>
      </c>
      <c r="E565" s="18" t="s">
        <v>19</v>
      </c>
      <c r="F565" s="18" t="s">
        <v>30</v>
      </c>
      <c r="G565" s="21">
        <v>631.83000000000004</v>
      </c>
    </row>
    <row r="566" spans="2:7" x14ac:dyDescent="0.25">
      <c r="B566" s="19">
        <v>41930</v>
      </c>
      <c r="C566" s="20">
        <v>4</v>
      </c>
      <c r="D566" s="18" t="s">
        <v>31</v>
      </c>
      <c r="E566" s="18" t="s">
        <v>28</v>
      </c>
      <c r="F566" s="18" t="s">
        <v>27</v>
      </c>
      <c r="G566" s="21">
        <v>1932.41</v>
      </c>
    </row>
    <row r="567" spans="2:7" x14ac:dyDescent="0.25">
      <c r="B567" s="19">
        <v>41836</v>
      </c>
      <c r="C567" s="20">
        <v>3</v>
      </c>
      <c r="D567" s="18" t="s">
        <v>18</v>
      </c>
      <c r="E567" s="18" t="s">
        <v>19</v>
      </c>
      <c r="F567" s="18" t="s">
        <v>30</v>
      </c>
      <c r="G567" s="21">
        <v>1047</v>
      </c>
    </row>
    <row r="568" spans="2:7" x14ac:dyDescent="0.25">
      <c r="B568" s="19">
        <v>41765</v>
      </c>
      <c r="C568" s="20">
        <v>2</v>
      </c>
      <c r="D568" s="18" t="s">
        <v>10</v>
      </c>
      <c r="E568" s="18" t="s">
        <v>28</v>
      </c>
      <c r="F568" s="18" t="s">
        <v>24</v>
      </c>
      <c r="G568" s="21">
        <v>1205.3599999999999</v>
      </c>
    </row>
    <row r="569" spans="2:7" x14ac:dyDescent="0.25">
      <c r="B569" s="19">
        <v>41433</v>
      </c>
      <c r="C569" s="20">
        <v>2</v>
      </c>
      <c r="D569" s="18" t="s">
        <v>25</v>
      </c>
      <c r="E569" s="18" t="s">
        <v>26</v>
      </c>
      <c r="F569" s="18" t="s">
        <v>24</v>
      </c>
      <c r="G569" s="21">
        <v>203.54</v>
      </c>
    </row>
    <row r="570" spans="2:7" x14ac:dyDescent="0.25">
      <c r="B570" s="19">
        <v>41953</v>
      </c>
      <c r="C570" s="20">
        <v>4</v>
      </c>
      <c r="D570" s="18" t="s">
        <v>11</v>
      </c>
      <c r="E570" s="18" t="s">
        <v>23</v>
      </c>
      <c r="F570" s="18" t="s">
        <v>22</v>
      </c>
      <c r="G570" s="21">
        <v>1491.84</v>
      </c>
    </row>
    <row r="571" spans="2:7" x14ac:dyDescent="0.25">
      <c r="B571" s="19">
        <v>41630</v>
      </c>
      <c r="C571" s="20">
        <v>4</v>
      </c>
      <c r="D571" s="18" t="s">
        <v>10</v>
      </c>
      <c r="E571" s="18" t="s">
        <v>28</v>
      </c>
      <c r="F571" s="18" t="s">
        <v>29</v>
      </c>
      <c r="G571" s="21">
        <v>3885.96</v>
      </c>
    </row>
    <row r="572" spans="2:7" x14ac:dyDescent="0.25">
      <c r="B572" s="19">
        <v>41551</v>
      </c>
      <c r="C572" s="20">
        <v>4</v>
      </c>
      <c r="D572" s="18" t="s">
        <v>8</v>
      </c>
      <c r="E572" s="18" t="s">
        <v>23</v>
      </c>
      <c r="F572" s="18" t="s">
        <v>20</v>
      </c>
      <c r="G572" s="21">
        <v>654.94000000000005</v>
      </c>
    </row>
    <row r="573" spans="2:7" x14ac:dyDescent="0.25">
      <c r="B573" s="19">
        <v>41896</v>
      </c>
      <c r="C573" s="20">
        <v>3</v>
      </c>
      <c r="D573" s="18" t="s">
        <v>18</v>
      </c>
      <c r="E573" s="18" t="s">
        <v>19</v>
      </c>
      <c r="F573" s="18" t="s">
        <v>27</v>
      </c>
      <c r="G573" s="21">
        <v>131.82</v>
      </c>
    </row>
    <row r="574" spans="2:7" x14ac:dyDescent="0.25">
      <c r="B574" s="19">
        <v>41329</v>
      </c>
      <c r="C574" s="20">
        <v>1</v>
      </c>
      <c r="D574" s="18" t="s">
        <v>31</v>
      </c>
      <c r="E574" s="18" t="s">
        <v>28</v>
      </c>
      <c r="F574" s="18" t="s">
        <v>33</v>
      </c>
      <c r="G574" s="21">
        <v>1497.39</v>
      </c>
    </row>
    <row r="575" spans="2:7" x14ac:dyDescent="0.25">
      <c r="B575" s="19">
        <v>41466</v>
      </c>
      <c r="C575" s="20">
        <v>3</v>
      </c>
      <c r="D575" s="18" t="s">
        <v>10</v>
      </c>
      <c r="E575" s="18" t="s">
        <v>28</v>
      </c>
      <c r="F575" s="18" t="s">
        <v>27</v>
      </c>
      <c r="G575" s="21">
        <v>1213.98</v>
      </c>
    </row>
    <row r="576" spans="2:7" x14ac:dyDescent="0.25">
      <c r="B576" s="19">
        <v>41626</v>
      </c>
      <c r="C576" s="20">
        <v>4</v>
      </c>
      <c r="D576" s="18" t="s">
        <v>10</v>
      </c>
      <c r="E576" s="18" t="s">
        <v>28</v>
      </c>
      <c r="F576" s="18" t="s">
        <v>22</v>
      </c>
      <c r="G576" s="21">
        <v>343.29</v>
      </c>
    </row>
    <row r="577" spans="2:7" x14ac:dyDescent="0.25">
      <c r="B577" s="19">
        <v>41739</v>
      </c>
      <c r="C577" s="20">
        <v>2</v>
      </c>
      <c r="D577" s="18" t="s">
        <v>21</v>
      </c>
      <c r="E577" s="18" t="s">
        <v>19</v>
      </c>
      <c r="F577" s="18" t="s">
        <v>20</v>
      </c>
      <c r="G577" s="21">
        <v>572.65</v>
      </c>
    </row>
    <row r="578" spans="2:7" x14ac:dyDescent="0.25">
      <c r="B578" s="19">
        <v>41922</v>
      </c>
      <c r="C578" s="20">
        <v>4</v>
      </c>
      <c r="D578" s="18" t="s">
        <v>11</v>
      </c>
      <c r="E578" s="18" t="s">
        <v>23</v>
      </c>
      <c r="F578" s="18" t="s">
        <v>20</v>
      </c>
      <c r="G578" s="21">
        <v>481.34</v>
      </c>
    </row>
    <row r="579" spans="2:7" x14ac:dyDescent="0.25">
      <c r="B579" s="19">
        <v>41895</v>
      </c>
      <c r="C579" s="20">
        <v>3</v>
      </c>
      <c r="D579" s="18" t="s">
        <v>8</v>
      </c>
      <c r="E579" s="18" t="s">
        <v>23</v>
      </c>
      <c r="F579" s="18" t="s">
        <v>22</v>
      </c>
      <c r="G579" s="21">
        <v>699.74</v>
      </c>
    </row>
    <row r="580" spans="2:7" x14ac:dyDescent="0.25">
      <c r="B580" s="19">
        <v>41715</v>
      </c>
      <c r="C580" s="20">
        <v>1</v>
      </c>
      <c r="D580" s="18" t="s">
        <v>8</v>
      </c>
      <c r="E580" s="18" t="s">
        <v>23</v>
      </c>
      <c r="F580" s="18" t="s">
        <v>24</v>
      </c>
      <c r="G580" s="21">
        <v>1020.24</v>
      </c>
    </row>
    <row r="581" spans="2:7" x14ac:dyDescent="0.25">
      <c r="B581" s="19">
        <v>41632</v>
      </c>
      <c r="C581" s="20">
        <v>4</v>
      </c>
      <c r="D581" s="18" t="s">
        <v>9</v>
      </c>
      <c r="E581" s="18" t="s">
        <v>26</v>
      </c>
      <c r="F581" s="18" t="s">
        <v>32</v>
      </c>
      <c r="G581" s="21">
        <v>1502.67</v>
      </c>
    </row>
    <row r="582" spans="2:7" x14ac:dyDescent="0.25">
      <c r="B582" s="19">
        <v>41761</v>
      </c>
      <c r="C582" s="20">
        <v>2</v>
      </c>
      <c r="D582" s="18" t="s">
        <v>25</v>
      </c>
      <c r="E582" s="18" t="s">
        <v>26</v>
      </c>
      <c r="F582" s="18" t="s">
        <v>27</v>
      </c>
      <c r="G582" s="21">
        <v>514.98</v>
      </c>
    </row>
    <row r="583" spans="2:7" x14ac:dyDescent="0.25">
      <c r="B583" s="19">
        <v>41670</v>
      </c>
      <c r="C583" s="20">
        <v>1</v>
      </c>
      <c r="D583" s="18" t="s">
        <v>11</v>
      </c>
      <c r="E583" s="18" t="s">
        <v>23</v>
      </c>
      <c r="F583" s="18" t="s">
        <v>30</v>
      </c>
      <c r="G583" s="21">
        <v>1873.81</v>
      </c>
    </row>
    <row r="584" spans="2:7" x14ac:dyDescent="0.25">
      <c r="B584" s="19">
        <v>41770</v>
      </c>
      <c r="C584" s="20">
        <v>2</v>
      </c>
      <c r="D584" s="18" t="s">
        <v>8</v>
      </c>
      <c r="E584" s="18" t="s">
        <v>23</v>
      </c>
      <c r="F584" s="18" t="s">
        <v>29</v>
      </c>
      <c r="G584" s="21">
        <v>3970.44</v>
      </c>
    </row>
    <row r="585" spans="2:7" x14ac:dyDescent="0.25">
      <c r="B585" s="19">
        <v>41910</v>
      </c>
      <c r="C585" s="20">
        <v>3</v>
      </c>
      <c r="D585" s="18" t="s">
        <v>21</v>
      </c>
      <c r="E585" s="18" t="s">
        <v>19</v>
      </c>
      <c r="F585" s="18" t="s">
        <v>20</v>
      </c>
      <c r="G585" s="21">
        <v>641.79999999999995</v>
      </c>
    </row>
    <row r="586" spans="2:7" x14ac:dyDescent="0.25">
      <c r="B586" s="19">
        <v>41667</v>
      </c>
      <c r="C586" s="20">
        <v>1</v>
      </c>
      <c r="D586" s="18" t="s">
        <v>11</v>
      </c>
      <c r="E586" s="18" t="s">
        <v>23</v>
      </c>
      <c r="F586" s="18" t="s">
        <v>30</v>
      </c>
      <c r="G586" s="21">
        <v>850.7</v>
      </c>
    </row>
    <row r="587" spans="2:7" x14ac:dyDescent="0.25">
      <c r="B587" s="19">
        <v>41868</v>
      </c>
      <c r="C587" s="20">
        <v>3</v>
      </c>
      <c r="D587" s="18" t="s">
        <v>21</v>
      </c>
      <c r="E587" s="18" t="s">
        <v>19</v>
      </c>
      <c r="F587" s="18" t="s">
        <v>27</v>
      </c>
      <c r="G587" s="21">
        <v>1738.09</v>
      </c>
    </row>
    <row r="588" spans="2:7" x14ac:dyDescent="0.25">
      <c r="B588" s="19">
        <v>41876</v>
      </c>
      <c r="C588" s="20">
        <v>3</v>
      </c>
      <c r="D588" s="18" t="s">
        <v>8</v>
      </c>
      <c r="E588" s="18" t="s">
        <v>23</v>
      </c>
      <c r="F588" s="18" t="s">
        <v>30</v>
      </c>
      <c r="G588" s="21">
        <v>2612.98</v>
      </c>
    </row>
    <row r="589" spans="2:7" x14ac:dyDescent="0.25">
      <c r="B589" s="19">
        <v>41877</v>
      </c>
      <c r="C589" s="20">
        <v>3</v>
      </c>
      <c r="D589" s="18" t="s">
        <v>8</v>
      </c>
      <c r="E589" s="18" t="s">
        <v>23</v>
      </c>
      <c r="F589" s="18" t="s">
        <v>27</v>
      </c>
      <c r="G589" s="21">
        <v>176.72</v>
      </c>
    </row>
    <row r="590" spans="2:7" x14ac:dyDescent="0.25">
      <c r="B590" s="19">
        <v>41983</v>
      </c>
      <c r="C590" s="20">
        <v>4</v>
      </c>
      <c r="D590" s="18" t="s">
        <v>10</v>
      </c>
      <c r="E590" s="18" t="s">
        <v>28</v>
      </c>
      <c r="F590" s="18" t="s">
        <v>29</v>
      </c>
      <c r="G590" s="21">
        <v>1157.8599999999999</v>
      </c>
    </row>
    <row r="591" spans="2:7" x14ac:dyDescent="0.25">
      <c r="B591" s="19">
        <v>41433</v>
      </c>
      <c r="C591" s="20">
        <v>2</v>
      </c>
      <c r="D591" s="18" t="s">
        <v>25</v>
      </c>
      <c r="E591" s="18" t="s">
        <v>26</v>
      </c>
      <c r="F591" s="18" t="s">
        <v>30</v>
      </c>
      <c r="G591" s="21">
        <v>1609.45</v>
      </c>
    </row>
    <row r="592" spans="2:7" x14ac:dyDescent="0.25">
      <c r="B592" s="19">
        <v>41645</v>
      </c>
      <c r="C592" s="20">
        <v>1</v>
      </c>
      <c r="D592" s="18" t="s">
        <v>8</v>
      </c>
      <c r="E592" s="18" t="s">
        <v>23</v>
      </c>
      <c r="F592" s="18" t="s">
        <v>32</v>
      </c>
      <c r="G592" s="21">
        <v>1344.73</v>
      </c>
    </row>
    <row r="593" spans="2:7" x14ac:dyDescent="0.25">
      <c r="B593" s="19">
        <v>41450</v>
      </c>
      <c r="C593" s="20">
        <v>2</v>
      </c>
      <c r="D593" s="18" t="s">
        <v>10</v>
      </c>
      <c r="E593" s="18" t="s">
        <v>28</v>
      </c>
      <c r="F593" s="18" t="s">
        <v>24</v>
      </c>
      <c r="G593" s="21">
        <v>780.11</v>
      </c>
    </row>
    <row r="594" spans="2:7" x14ac:dyDescent="0.25">
      <c r="B594" s="19">
        <v>41481</v>
      </c>
      <c r="C594" s="20">
        <v>3</v>
      </c>
      <c r="D594" s="18" t="s">
        <v>18</v>
      </c>
      <c r="E594" s="18" t="s">
        <v>19</v>
      </c>
      <c r="F594" s="18" t="s">
        <v>22</v>
      </c>
      <c r="G594" s="21">
        <v>155.11000000000001</v>
      </c>
    </row>
    <row r="595" spans="2:7" x14ac:dyDescent="0.25">
      <c r="B595" s="19">
        <v>41989</v>
      </c>
      <c r="C595" s="20">
        <v>4</v>
      </c>
      <c r="D595" s="18" t="s">
        <v>21</v>
      </c>
      <c r="E595" s="18" t="s">
        <v>19</v>
      </c>
      <c r="F595" s="18" t="s">
        <v>22</v>
      </c>
      <c r="G595" s="21">
        <v>625.34</v>
      </c>
    </row>
    <row r="596" spans="2:7" x14ac:dyDescent="0.25">
      <c r="B596" s="19">
        <v>41306</v>
      </c>
      <c r="C596" s="20">
        <v>1</v>
      </c>
      <c r="D596" s="18" t="s">
        <v>8</v>
      </c>
      <c r="E596" s="18" t="s">
        <v>23</v>
      </c>
      <c r="F596" s="18" t="s">
        <v>24</v>
      </c>
      <c r="G596" s="21">
        <v>1406.4</v>
      </c>
    </row>
    <row r="597" spans="2:7" x14ac:dyDescent="0.25">
      <c r="B597" s="19">
        <v>41702</v>
      </c>
      <c r="C597" s="20">
        <v>1</v>
      </c>
      <c r="D597" s="18" t="s">
        <v>10</v>
      </c>
      <c r="E597" s="18" t="s">
        <v>28</v>
      </c>
      <c r="F597" s="18" t="s">
        <v>29</v>
      </c>
      <c r="G597" s="21">
        <v>1885.7</v>
      </c>
    </row>
    <row r="598" spans="2:7" x14ac:dyDescent="0.25">
      <c r="B598" s="19">
        <v>41482</v>
      </c>
      <c r="C598" s="20">
        <v>3</v>
      </c>
      <c r="D598" s="18" t="s">
        <v>9</v>
      </c>
      <c r="E598" s="18" t="s">
        <v>26</v>
      </c>
      <c r="F598" s="18" t="s">
        <v>24</v>
      </c>
      <c r="G598" s="21">
        <v>743.69</v>
      </c>
    </row>
    <row r="599" spans="2:7" x14ac:dyDescent="0.25">
      <c r="B599" s="19">
        <v>41727</v>
      </c>
      <c r="C599" s="20">
        <v>1</v>
      </c>
      <c r="D599" s="18" t="s">
        <v>18</v>
      </c>
      <c r="E599" s="18" t="s">
        <v>19</v>
      </c>
      <c r="F599" s="18" t="s">
        <v>29</v>
      </c>
      <c r="G599" s="21">
        <v>3948.18</v>
      </c>
    </row>
    <row r="600" spans="2:7" x14ac:dyDescent="0.25">
      <c r="B600" s="19">
        <v>41569</v>
      </c>
      <c r="C600" s="20">
        <v>4</v>
      </c>
      <c r="D600" s="18" t="s">
        <v>11</v>
      </c>
      <c r="E600" s="18" t="s">
        <v>23</v>
      </c>
      <c r="F600" s="18" t="s">
        <v>29</v>
      </c>
      <c r="G600" s="21">
        <v>2795.44</v>
      </c>
    </row>
    <row r="601" spans="2:7" x14ac:dyDescent="0.25">
      <c r="B601" s="19">
        <v>41388</v>
      </c>
      <c r="C601" s="20">
        <v>2</v>
      </c>
      <c r="D601" s="18" t="s">
        <v>8</v>
      </c>
      <c r="E601" s="18" t="s">
        <v>23</v>
      </c>
      <c r="F601" s="18" t="s">
        <v>32</v>
      </c>
      <c r="G601" s="21">
        <v>1619.32</v>
      </c>
    </row>
    <row r="602" spans="2:7" x14ac:dyDescent="0.25">
      <c r="B602" s="19">
        <v>41529</v>
      </c>
      <c r="C602" s="20">
        <v>3</v>
      </c>
      <c r="D602" s="18" t="s">
        <v>10</v>
      </c>
      <c r="E602" s="18" t="s">
        <v>28</v>
      </c>
      <c r="F602" s="18" t="s">
        <v>32</v>
      </c>
      <c r="G602" s="21">
        <v>510.13</v>
      </c>
    </row>
    <row r="603" spans="2:7" x14ac:dyDescent="0.25">
      <c r="B603" s="19">
        <v>41935</v>
      </c>
      <c r="C603" s="20">
        <v>4</v>
      </c>
      <c r="D603" s="18" t="s">
        <v>9</v>
      </c>
      <c r="E603" s="18" t="s">
        <v>26</v>
      </c>
      <c r="F603" s="18" t="s">
        <v>32</v>
      </c>
      <c r="G603" s="21">
        <v>1382.99</v>
      </c>
    </row>
    <row r="604" spans="2:7" x14ac:dyDescent="0.25">
      <c r="B604" s="19">
        <v>41617</v>
      </c>
      <c r="C604" s="20">
        <v>4</v>
      </c>
      <c r="D604" s="18" t="s">
        <v>11</v>
      </c>
      <c r="E604" s="18" t="s">
        <v>23</v>
      </c>
      <c r="F604" s="18" t="s">
        <v>30</v>
      </c>
      <c r="G604" s="21">
        <v>2423.66</v>
      </c>
    </row>
    <row r="605" spans="2:7" x14ac:dyDescent="0.25">
      <c r="B605" s="19">
        <v>41296</v>
      </c>
      <c r="C605" s="20">
        <v>1</v>
      </c>
      <c r="D605" s="18" t="s">
        <v>31</v>
      </c>
      <c r="E605" s="18" t="s">
        <v>28</v>
      </c>
      <c r="F605" s="18" t="s">
        <v>22</v>
      </c>
      <c r="G605" s="21">
        <v>1000.49</v>
      </c>
    </row>
  </sheetData>
  <pageMargins left="0.7" right="0.7" top="0.78740157499999996" bottom="0.78740157499999996" header="0.3" footer="0.3"/>
  <pageSetup paperSize="9" orientation="portrait" horizontalDpi="4294967295" verticalDpi="4294967295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F3005"/>
  <sheetViews>
    <sheetView showGridLines="0" zoomScaleNormal="100" workbookViewId="0"/>
  </sheetViews>
  <sheetFormatPr baseColWidth="10" defaultRowHeight="15" x14ac:dyDescent="0.25"/>
  <cols>
    <col min="1" max="1" width="8.5703125" style="17" customWidth="1"/>
    <col min="2" max="2" width="12.7109375" style="17" customWidth="1"/>
    <col min="3" max="3" width="15.7109375" style="17" customWidth="1"/>
    <col min="4" max="4" width="19" style="17" bestFit="1" customWidth="1"/>
    <col min="5" max="5" width="17.85546875" style="17" bestFit="1" customWidth="1"/>
    <col min="6" max="6" width="11.42578125" style="17"/>
    <col min="7" max="7" width="12.7109375" style="17" customWidth="1"/>
    <col min="8" max="8" width="19" style="17" bestFit="1" customWidth="1"/>
    <col min="9" max="16384" width="11.42578125" style="17"/>
  </cols>
  <sheetData>
    <row r="1" spans="1:6" ht="45" customHeight="1" x14ac:dyDescent="0.7">
      <c r="A1" s="4"/>
      <c r="B1" s="14" t="s">
        <v>35</v>
      </c>
    </row>
    <row r="2" spans="1:6" x14ac:dyDescent="0.25">
      <c r="B2" s="17" t="s">
        <v>43</v>
      </c>
    </row>
    <row r="5" spans="1:6" x14ac:dyDescent="0.25">
      <c r="B5" s="25" t="s">
        <v>82</v>
      </c>
      <c r="C5" s="26" t="s">
        <v>7</v>
      </c>
      <c r="D5" s="18" t="s">
        <v>83</v>
      </c>
      <c r="E5" s="18" t="s">
        <v>84</v>
      </c>
      <c r="F5" s="18" t="s">
        <v>85</v>
      </c>
    </row>
    <row r="6" spans="1:6" x14ac:dyDescent="0.25">
      <c r="B6" s="27" t="s">
        <v>21</v>
      </c>
      <c r="C6" s="19">
        <f>40189+(3*365)</f>
        <v>41284</v>
      </c>
      <c r="D6" s="18" t="s">
        <v>58</v>
      </c>
      <c r="E6" s="18" t="s">
        <v>59</v>
      </c>
      <c r="F6" s="21">
        <v>26</v>
      </c>
    </row>
    <row r="7" spans="1:6" x14ac:dyDescent="0.25">
      <c r="B7" s="27" t="s">
        <v>11</v>
      </c>
      <c r="C7" s="19">
        <f>40340+(3*365)</f>
        <v>41435</v>
      </c>
      <c r="D7" s="18" t="s">
        <v>60</v>
      </c>
      <c r="E7" s="18" t="s">
        <v>61</v>
      </c>
      <c r="F7" s="21">
        <v>702</v>
      </c>
    </row>
    <row r="8" spans="1:6" x14ac:dyDescent="0.25">
      <c r="B8" s="27" t="s">
        <v>9</v>
      </c>
      <c r="C8" s="19">
        <f>40248+(3*365)</f>
        <v>41343</v>
      </c>
      <c r="D8" s="18" t="s">
        <v>62</v>
      </c>
      <c r="E8" s="18" t="s">
        <v>63</v>
      </c>
      <c r="F8" s="21">
        <v>310</v>
      </c>
    </row>
    <row r="9" spans="1:6" x14ac:dyDescent="0.25">
      <c r="B9" s="27" t="s">
        <v>9</v>
      </c>
      <c r="C9" s="19">
        <f>40645+(3*365)</f>
        <v>41740</v>
      </c>
      <c r="D9" s="18" t="s">
        <v>62</v>
      </c>
      <c r="E9" s="18" t="s">
        <v>61</v>
      </c>
      <c r="F9" s="21">
        <v>798</v>
      </c>
    </row>
    <row r="10" spans="1:6" x14ac:dyDescent="0.25">
      <c r="B10" s="27" t="s">
        <v>21</v>
      </c>
      <c r="C10" s="19">
        <f>41015+(3*365)</f>
        <v>42110</v>
      </c>
      <c r="D10" s="18" t="s">
        <v>58</v>
      </c>
      <c r="E10" s="18" t="s">
        <v>64</v>
      </c>
      <c r="F10" s="21">
        <v>11400</v>
      </c>
    </row>
    <row r="11" spans="1:6" x14ac:dyDescent="0.25">
      <c r="B11" s="27" t="s">
        <v>10</v>
      </c>
      <c r="C11" s="19">
        <f>40866+(3*365)</f>
        <v>41961</v>
      </c>
      <c r="D11" s="18" t="s">
        <v>65</v>
      </c>
      <c r="E11" s="18" t="s">
        <v>66</v>
      </c>
      <c r="F11" s="21">
        <v>480</v>
      </c>
    </row>
    <row r="12" spans="1:6" x14ac:dyDescent="0.25">
      <c r="B12" s="27" t="s">
        <v>10</v>
      </c>
      <c r="C12" s="19">
        <f>40918+(3*365)</f>
        <v>42013</v>
      </c>
      <c r="D12" s="18" t="s">
        <v>67</v>
      </c>
      <c r="E12" s="18" t="s">
        <v>64</v>
      </c>
      <c r="F12" s="21">
        <v>1167</v>
      </c>
    </row>
    <row r="13" spans="1:6" x14ac:dyDescent="0.25">
      <c r="B13" s="27" t="s">
        <v>18</v>
      </c>
      <c r="C13" s="19">
        <f>39832+(3*365)</f>
        <v>40927</v>
      </c>
      <c r="D13" s="18" t="s">
        <v>68</v>
      </c>
      <c r="E13" s="18" t="s">
        <v>69</v>
      </c>
      <c r="F13" s="21">
        <v>900</v>
      </c>
    </row>
    <row r="14" spans="1:6" x14ac:dyDescent="0.25">
      <c r="B14" s="27" t="s">
        <v>21</v>
      </c>
      <c r="C14" s="19">
        <f>40249+(3*365)</f>
        <v>41344</v>
      </c>
      <c r="D14" s="18" t="s">
        <v>58</v>
      </c>
      <c r="E14" s="18" t="s">
        <v>69</v>
      </c>
      <c r="F14" s="21">
        <v>1648</v>
      </c>
    </row>
    <row r="15" spans="1:6" x14ac:dyDescent="0.25">
      <c r="B15" s="27" t="s">
        <v>31</v>
      </c>
      <c r="C15" s="19">
        <f>40714+(3*365)</f>
        <v>41809</v>
      </c>
      <c r="D15" s="18" t="s">
        <v>70</v>
      </c>
      <c r="E15" s="18" t="s">
        <v>59</v>
      </c>
      <c r="F15" s="21">
        <v>540</v>
      </c>
    </row>
    <row r="16" spans="1:6" x14ac:dyDescent="0.25">
      <c r="B16" s="27" t="s">
        <v>18</v>
      </c>
      <c r="C16" s="19">
        <f>40241+(3*365)</f>
        <v>41336</v>
      </c>
      <c r="D16" s="18" t="s">
        <v>71</v>
      </c>
      <c r="E16" s="18" t="s">
        <v>72</v>
      </c>
      <c r="F16" s="21">
        <v>276</v>
      </c>
    </row>
    <row r="17" spans="2:6" x14ac:dyDescent="0.25">
      <c r="B17" s="27" t="s">
        <v>11</v>
      </c>
      <c r="C17" s="19">
        <f>39895+(3*365)</f>
        <v>40990</v>
      </c>
      <c r="D17" s="18" t="s">
        <v>60</v>
      </c>
      <c r="E17" s="18" t="s">
        <v>72</v>
      </c>
      <c r="F17" s="21">
        <v>1056</v>
      </c>
    </row>
    <row r="18" spans="2:6" x14ac:dyDescent="0.25">
      <c r="B18" s="27" t="s">
        <v>21</v>
      </c>
      <c r="C18" s="19">
        <f>41270+(3*365)</f>
        <v>42365</v>
      </c>
      <c r="D18" s="18" t="s">
        <v>73</v>
      </c>
      <c r="E18" s="18" t="s">
        <v>72</v>
      </c>
      <c r="F18" s="21">
        <v>4648</v>
      </c>
    </row>
    <row r="19" spans="2:6" x14ac:dyDescent="0.25">
      <c r="B19" s="27" t="s">
        <v>18</v>
      </c>
      <c r="C19" s="19">
        <f>39866+(3*365)</f>
        <v>40961</v>
      </c>
      <c r="D19" s="18" t="s">
        <v>71</v>
      </c>
      <c r="E19" s="18" t="s">
        <v>61</v>
      </c>
      <c r="F19" s="21">
        <v>390</v>
      </c>
    </row>
    <row r="20" spans="2:6" x14ac:dyDescent="0.25">
      <c r="B20" s="27" t="s">
        <v>11</v>
      </c>
      <c r="C20" s="19">
        <f>40764+(3*365)</f>
        <v>41859</v>
      </c>
      <c r="D20" s="18" t="s">
        <v>74</v>
      </c>
      <c r="E20" s="18" t="s">
        <v>75</v>
      </c>
      <c r="F20" s="21">
        <v>408</v>
      </c>
    </row>
    <row r="21" spans="2:6" x14ac:dyDescent="0.25">
      <c r="B21" s="27" t="s">
        <v>18</v>
      </c>
      <c r="C21" s="19">
        <f>41130+(3*365)</f>
        <v>42225</v>
      </c>
      <c r="D21" s="18" t="s">
        <v>68</v>
      </c>
      <c r="E21" s="18" t="s">
        <v>72</v>
      </c>
      <c r="F21" s="21">
        <v>2394</v>
      </c>
    </row>
    <row r="22" spans="2:6" x14ac:dyDescent="0.25">
      <c r="B22" s="27" t="s">
        <v>10</v>
      </c>
      <c r="C22" s="19">
        <f>41100+(3*365)</f>
        <v>42195</v>
      </c>
      <c r="D22" s="18" t="s">
        <v>67</v>
      </c>
      <c r="E22" s="18" t="s">
        <v>63</v>
      </c>
      <c r="F22" s="21">
        <v>204</v>
      </c>
    </row>
    <row r="23" spans="2:6" x14ac:dyDescent="0.25">
      <c r="B23" s="27" t="s">
        <v>11</v>
      </c>
      <c r="C23" s="19">
        <f>40003+(3*365)</f>
        <v>41098</v>
      </c>
      <c r="D23" s="18" t="s">
        <v>60</v>
      </c>
      <c r="E23" s="18" t="s">
        <v>69</v>
      </c>
      <c r="F23" s="21">
        <v>1404</v>
      </c>
    </row>
    <row r="24" spans="2:6" x14ac:dyDescent="0.25">
      <c r="B24" s="27" t="s">
        <v>31</v>
      </c>
      <c r="C24" s="19">
        <f>41045+(3*365)</f>
        <v>42140</v>
      </c>
      <c r="D24" s="18" t="s">
        <v>76</v>
      </c>
      <c r="E24" s="18" t="s">
        <v>69</v>
      </c>
      <c r="F24" s="21">
        <v>180</v>
      </c>
    </row>
    <row r="25" spans="2:6" x14ac:dyDescent="0.25">
      <c r="B25" s="27" t="s">
        <v>18</v>
      </c>
      <c r="C25" s="19">
        <f>40121+(3*365)</f>
        <v>41216</v>
      </c>
      <c r="D25" s="18" t="s">
        <v>71</v>
      </c>
      <c r="E25" s="18" t="s">
        <v>63</v>
      </c>
      <c r="F25" s="21">
        <v>552</v>
      </c>
    </row>
    <row r="26" spans="2:6" x14ac:dyDescent="0.25">
      <c r="B26" s="27" t="s">
        <v>8</v>
      </c>
      <c r="C26" s="19">
        <f>40553+(3*365)</f>
        <v>41648</v>
      </c>
      <c r="D26" s="18" t="s">
        <v>77</v>
      </c>
      <c r="E26" s="18" t="s">
        <v>64</v>
      </c>
      <c r="F26" s="21">
        <v>17280</v>
      </c>
    </row>
    <row r="27" spans="2:6" x14ac:dyDescent="0.25">
      <c r="B27" s="27" t="s">
        <v>18</v>
      </c>
      <c r="C27" s="19">
        <f>40600+(3*365)</f>
        <v>41695</v>
      </c>
      <c r="D27" s="18" t="s">
        <v>71</v>
      </c>
      <c r="E27" s="18" t="s">
        <v>63</v>
      </c>
      <c r="F27" s="21">
        <v>1092</v>
      </c>
    </row>
    <row r="28" spans="2:6" x14ac:dyDescent="0.25">
      <c r="B28" s="27" t="s">
        <v>18</v>
      </c>
      <c r="C28" s="19">
        <f>40059+(3*365)</f>
        <v>41154</v>
      </c>
      <c r="D28" s="18" t="s">
        <v>71</v>
      </c>
      <c r="E28" s="18" t="s">
        <v>61</v>
      </c>
      <c r="F28" s="21">
        <v>224</v>
      </c>
    </row>
    <row r="29" spans="2:6" x14ac:dyDescent="0.25">
      <c r="B29" s="27" t="s">
        <v>8</v>
      </c>
      <c r="C29" s="19">
        <f>40936+(3*365)</f>
        <v>42031</v>
      </c>
      <c r="D29" s="18" t="s">
        <v>77</v>
      </c>
      <c r="E29" s="18" t="s">
        <v>61</v>
      </c>
      <c r="F29" s="21">
        <v>720</v>
      </c>
    </row>
    <row r="30" spans="2:6" x14ac:dyDescent="0.25">
      <c r="B30" s="27" t="s">
        <v>11</v>
      </c>
      <c r="C30" s="19">
        <f>40755+(3*365)</f>
        <v>41850</v>
      </c>
      <c r="D30" s="18" t="s">
        <v>74</v>
      </c>
      <c r="E30" s="18" t="s">
        <v>66</v>
      </c>
      <c r="F30" s="21">
        <v>996</v>
      </c>
    </row>
    <row r="31" spans="2:6" x14ac:dyDescent="0.25">
      <c r="B31" s="27" t="s">
        <v>31</v>
      </c>
      <c r="C31" s="19">
        <f>39995+(3*365)</f>
        <v>41090</v>
      </c>
      <c r="D31" s="18" t="s">
        <v>76</v>
      </c>
      <c r="E31" s="18" t="s">
        <v>59</v>
      </c>
      <c r="F31" s="21">
        <v>66</v>
      </c>
    </row>
    <row r="32" spans="2:6" x14ac:dyDescent="0.25">
      <c r="B32" s="27" t="s">
        <v>25</v>
      </c>
      <c r="C32" s="19">
        <f>41194+(3*365)</f>
        <v>42289</v>
      </c>
      <c r="D32" s="18" t="s">
        <v>78</v>
      </c>
      <c r="E32" s="18" t="s">
        <v>72</v>
      </c>
      <c r="F32" s="21">
        <v>176</v>
      </c>
    </row>
    <row r="33" spans="2:6" x14ac:dyDescent="0.25">
      <c r="B33" s="27" t="s">
        <v>31</v>
      </c>
      <c r="C33" s="19">
        <f>40453+(3*365)</f>
        <v>41548</v>
      </c>
      <c r="D33" s="18" t="s">
        <v>76</v>
      </c>
      <c r="E33" s="18" t="s">
        <v>69</v>
      </c>
      <c r="F33" s="21">
        <v>2214</v>
      </c>
    </row>
    <row r="34" spans="2:6" x14ac:dyDescent="0.25">
      <c r="B34" s="27" t="s">
        <v>8</v>
      </c>
      <c r="C34" s="19">
        <f>40678+(3*365)</f>
        <v>41773</v>
      </c>
      <c r="D34" s="18" t="s">
        <v>77</v>
      </c>
      <c r="E34" s="18" t="s">
        <v>59</v>
      </c>
      <c r="F34" s="21">
        <v>280</v>
      </c>
    </row>
    <row r="35" spans="2:6" x14ac:dyDescent="0.25">
      <c r="B35" s="27" t="s">
        <v>25</v>
      </c>
      <c r="C35" s="19">
        <f>41202+(3*365)</f>
        <v>42297</v>
      </c>
      <c r="D35" s="18" t="s">
        <v>78</v>
      </c>
      <c r="E35" s="18" t="s">
        <v>66</v>
      </c>
      <c r="F35" s="21">
        <v>672</v>
      </c>
    </row>
    <row r="36" spans="2:6" x14ac:dyDescent="0.25">
      <c r="B36" s="27" t="s">
        <v>9</v>
      </c>
      <c r="C36" s="19">
        <f>41050+(3*365)</f>
        <v>42145</v>
      </c>
      <c r="D36" s="18" t="s">
        <v>62</v>
      </c>
      <c r="E36" s="18" t="s">
        <v>59</v>
      </c>
      <c r="F36" s="21">
        <v>154</v>
      </c>
    </row>
    <row r="37" spans="2:6" x14ac:dyDescent="0.25">
      <c r="B37" s="27" t="s">
        <v>25</v>
      </c>
      <c r="C37" s="19">
        <f>40726+(3*365)</f>
        <v>41821</v>
      </c>
      <c r="D37" s="18" t="s">
        <v>79</v>
      </c>
      <c r="E37" s="18" t="s">
        <v>63</v>
      </c>
      <c r="F37" s="21">
        <v>1312</v>
      </c>
    </row>
    <row r="38" spans="2:6" x14ac:dyDescent="0.25">
      <c r="B38" s="27" t="s">
        <v>11</v>
      </c>
      <c r="C38" s="19">
        <f>39839+(3*365)</f>
        <v>40934</v>
      </c>
      <c r="D38" s="18" t="s">
        <v>60</v>
      </c>
      <c r="E38" s="18" t="s">
        <v>66</v>
      </c>
      <c r="F38" s="21">
        <v>237</v>
      </c>
    </row>
    <row r="39" spans="2:6" x14ac:dyDescent="0.25">
      <c r="B39" s="27" t="s">
        <v>21</v>
      </c>
      <c r="C39" s="19">
        <f>40954+(3*365)</f>
        <v>42049</v>
      </c>
      <c r="D39" s="18" t="s">
        <v>73</v>
      </c>
      <c r="E39" s="18" t="s">
        <v>72</v>
      </c>
      <c r="F39" s="21">
        <v>6048</v>
      </c>
    </row>
    <row r="40" spans="2:6" x14ac:dyDescent="0.25">
      <c r="B40" s="27" t="s">
        <v>9</v>
      </c>
      <c r="C40" s="19">
        <f>39917+(3*365)</f>
        <v>41012</v>
      </c>
      <c r="D40" s="18" t="s">
        <v>80</v>
      </c>
      <c r="E40" s="18" t="s">
        <v>75</v>
      </c>
      <c r="F40" s="21">
        <v>140</v>
      </c>
    </row>
    <row r="41" spans="2:6" x14ac:dyDescent="0.25">
      <c r="B41" s="27" t="s">
        <v>9</v>
      </c>
      <c r="C41" s="19">
        <f>40158+(3*365)</f>
        <v>41253</v>
      </c>
      <c r="D41" s="18" t="s">
        <v>62</v>
      </c>
      <c r="E41" s="18" t="s">
        <v>69</v>
      </c>
      <c r="F41" s="21">
        <v>510</v>
      </c>
    </row>
    <row r="42" spans="2:6" x14ac:dyDescent="0.25">
      <c r="B42" s="27" t="s">
        <v>8</v>
      </c>
      <c r="C42" s="19">
        <f>40225+(3*365)</f>
        <v>41320</v>
      </c>
      <c r="D42" s="18" t="s">
        <v>77</v>
      </c>
      <c r="E42" s="18" t="s">
        <v>64</v>
      </c>
      <c r="F42" s="21">
        <v>4848</v>
      </c>
    </row>
    <row r="43" spans="2:6" x14ac:dyDescent="0.25">
      <c r="B43" s="27" t="s">
        <v>8</v>
      </c>
      <c r="C43" s="19">
        <f>39886+(3*365)</f>
        <v>40981</v>
      </c>
      <c r="D43" s="18" t="s">
        <v>81</v>
      </c>
      <c r="E43" s="18" t="s">
        <v>61</v>
      </c>
      <c r="F43" s="21">
        <v>1332</v>
      </c>
    </row>
    <row r="44" spans="2:6" x14ac:dyDescent="0.25">
      <c r="B44" s="27" t="s">
        <v>9</v>
      </c>
      <c r="C44" s="19">
        <f>39876+(3*365)</f>
        <v>40971</v>
      </c>
      <c r="D44" s="18" t="s">
        <v>80</v>
      </c>
      <c r="E44" s="18" t="s">
        <v>66</v>
      </c>
      <c r="F44" s="21">
        <v>68</v>
      </c>
    </row>
    <row r="45" spans="2:6" x14ac:dyDescent="0.25">
      <c r="B45" s="27" t="s">
        <v>10</v>
      </c>
      <c r="C45" s="19">
        <f>39884+(3*365)</f>
        <v>40979</v>
      </c>
      <c r="D45" s="18" t="s">
        <v>65</v>
      </c>
      <c r="E45" s="18" t="s">
        <v>63</v>
      </c>
      <c r="F45" s="21">
        <v>244</v>
      </c>
    </row>
    <row r="46" spans="2:6" x14ac:dyDescent="0.25">
      <c r="B46" s="27" t="s">
        <v>9</v>
      </c>
      <c r="C46" s="19">
        <f>41073+(3*365)</f>
        <v>42168</v>
      </c>
      <c r="D46" s="18" t="s">
        <v>80</v>
      </c>
      <c r="E46" s="18" t="s">
        <v>61</v>
      </c>
      <c r="F46" s="21">
        <v>372</v>
      </c>
    </row>
    <row r="47" spans="2:6" x14ac:dyDescent="0.25">
      <c r="B47" s="27" t="s">
        <v>10</v>
      </c>
      <c r="C47" s="19">
        <f>40989+(3*365)</f>
        <v>42084</v>
      </c>
      <c r="D47" s="18" t="s">
        <v>67</v>
      </c>
      <c r="E47" s="18" t="s">
        <v>72</v>
      </c>
      <c r="F47" s="21">
        <v>2475</v>
      </c>
    </row>
    <row r="48" spans="2:6" x14ac:dyDescent="0.25">
      <c r="B48" s="27" t="s">
        <v>21</v>
      </c>
      <c r="C48" s="19">
        <f>40098+(3*365)</f>
        <v>41193</v>
      </c>
      <c r="D48" s="18" t="s">
        <v>58</v>
      </c>
      <c r="E48" s="18" t="s">
        <v>72</v>
      </c>
      <c r="F48" s="21">
        <v>320</v>
      </c>
    </row>
    <row r="49" spans="2:6" x14ac:dyDescent="0.25">
      <c r="B49" s="27" t="s">
        <v>11</v>
      </c>
      <c r="C49" s="19">
        <f>40886+(3*365)</f>
        <v>41981</v>
      </c>
      <c r="D49" s="18" t="s">
        <v>60</v>
      </c>
      <c r="E49" s="18" t="s">
        <v>63</v>
      </c>
      <c r="F49" s="21">
        <v>414</v>
      </c>
    </row>
    <row r="50" spans="2:6" x14ac:dyDescent="0.25">
      <c r="B50" s="27" t="s">
        <v>8</v>
      </c>
      <c r="C50" s="19">
        <f>40945+(3*365)</f>
        <v>42040</v>
      </c>
      <c r="D50" s="18" t="s">
        <v>77</v>
      </c>
      <c r="E50" s="18" t="s">
        <v>72</v>
      </c>
      <c r="F50" s="21">
        <v>5600</v>
      </c>
    </row>
    <row r="51" spans="2:6" x14ac:dyDescent="0.25">
      <c r="B51" s="27" t="s">
        <v>8</v>
      </c>
      <c r="C51" s="19">
        <f>41157+(3*365)</f>
        <v>42252</v>
      </c>
      <c r="D51" s="18" t="s">
        <v>77</v>
      </c>
      <c r="E51" s="18" t="s">
        <v>66</v>
      </c>
      <c r="F51" s="21">
        <v>816</v>
      </c>
    </row>
    <row r="52" spans="2:6" x14ac:dyDescent="0.25">
      <c r="B52" s="27" t="s">
        <v>21</v>
      </c>
      <c r="C52" s="19">
        <f>40709+(3*365)</f>
        <v>41804</v>
      </c>
      <c r="D52" s="18" t="s">
        <v>73</v>
      </c>
      <c r="E52" s="18" t="s">
        <v>59</v>
      </c>
      <c r="F52" s="21">
        <v>495</v>
      </c>
    </row>
    <row r="53" spans="2:6" x14ac:dyDescent="0.25">
      <c r="B53" s="27" t="s">
        <v>11</v>
      </c>
      <c r="C53" s="19">
        <f>40200+(3*365)</f>
        <v>41295</v>
      </c>
      <c r="D53" s="18" t="s">
        <v>60</v>
      </c>
      <c r="E53" s="18" t="s">
        <v>64</v>
      </c>
      <c r="F53" s="21">
        <v>9180</v>
      </c>
    </row>
    <row r="54" spans="2:6" x14ac:dyDescent="0.25">
      <c r="B54" s="27" t="s">
        <v>11</v>
      </c>
      <c r="C54" s="19">
        <f>40404+(3*365)</f>
        <v>41499</v>
      </c>
      <c r="D54" s="18" t="s">
        <v>74</v>
      </c>
      <c r="E54" s="18" t="s">
        <v>59</v>
      </c>
      <c r="F54" s="21">
        <v>945</v>
      </c>
    </row>
    <row r="55" spans="2:6" x14ac:dyDescent="0.25">
      <c r="B55" s="27" t="s">
        <v>25</v>
      </c>
      <c r="C55" s="19">
        <f>40691+(3*365)</f>
        <v>41786</v>
      </c>
      <c r="D55" s="18" t="s">
        <v>78</v>
      </c>
      <c r="E55" s="18" t="s">
        <v>59</v>
      </c>
      <c r="F55" s="21">
        <v>672</v>
      </c>
    </row>
    <row r="56" spans="2:6" x14ac:dyDescent="0.25">
      <c r="B56" s="27" t="s">
        <v>10</v>
      </c>
      <c r="C56" s="19">
        <f>40334+(3*365)</f>
        <v>41429</v>
      </c>
      <c r="D56" s="18" t="s">
        <v>65</v>
      </c>
      <c r="E56" s="18" t="s">
        <v>66</v>
      </c>
      <c r="F56" s="21">
        <v>459</v>
      </c>
    </row>
    <row r="57" spans="2:6" x14ac:dyDescent="0.25">
      <c r="B57" s="27" t="s">
        <v>11</v>
      </c>
      <c r="C57" s="19">
        <f>40938+(3*365)</f>
        <v>42033</v>
      </c>
      <c r="D57" s="18" t="s">
        <v>74</v>
      </c>
      <c r="E57" s="18" t="s">
        <v>72</v>
      </c>
      <c r="F57" s="21">
        <v>1896</v>
      </c>
    </row>
    <row r="58" spans="2:6" x14ac:dyDescent="0.25">
      <c r="B58" s="27" t="s">
        <v>25</v>
      </c>
      <c r="C58" s="19">
        <f>41105+(3*365)</f>
        <v>42200</v>
      </c>
      <c r="D58" s="18" t="s">
        <v>79</v>
      </c>
      <c r="E58" s="18" t="s">
        <v>66</v>
      </c>
      <c r="F58" s="21">
        <v>192</v>
      </c>
    </row>
    <row r="59" spans="2:6" x14ac:dyDescent="0.25">
      <c r="B59" s="27" t="s">
        <v>25</v>
      </c>
      <c r="C59" s="19">
        <f>41203+(3*365)</f>
        <v>42298</v>
      </c>
      <c r="D59" s="18" t="s">
        <v>79</v>
      </c>
      <c r="E59" s="18" t="s">
        <v>63</v>
      </c>
      <c r="F59" s="21">
        <v>738</v>
      </c>
    </row>
    <row r="60" spans="2:6" x14ac:dyDescent="0.25">
      <c r="B60" s="27" t="s">
        <v>21</v>
      </c>
      <c r="C60" s="19">
        <f>40131+(3*365)</f>
        <v>41226</v>
      </c>
      <c r="D60" s="18" t="s">
        <v>73</v>
      </c>
      <c r="E60" s="18" t="s">
        <v>59</v>
      </c>
      <c r="F60" s="21">
        <v>80</v>
      </c>
    </row>
    <row r="61" spans="2:6" x14ac:dyDescent="0.25">
      <c r="B61" s="27" t="s">
        <v>21</v>
      </c>
      <c r="C61" s="19">
        <f>40785+(3*365)</f>
        <v>41880</v>
      </c>
      <c r="D61" s="18" t="s">
        <v>58</v>
      </c>
      <c r="E61" s="18" t="s">
        <v>63</v>
      </c>
      <c r="F61" s="21">
        <v>1566</v>
      </c>
    </row>
    <row r="62" spans="2:6" x14ac:dyDescent="0.25">
      <c r="B62" s="27" t="s">
        <v>9</v>
      </c>
      <c r="C62" s="19">
        <f>39965+(3*365)</f>
        <v>41060</v>
      </c>
      <c r="D62" s="18" t="s">
        <v>80</v>
      </c>
      <c r="E62" s="18" t="s">
        <v>63</v>
      </c>
      <c r="F62" s="21">
        <v>62</v>
      </c>
    </row>
    <row r="63" spans="2:6" x14ac:dyDescent="0.25">
      <c r="B63" s="27" t="s">
        <v>10</v>
      </c>
      <c r="C63" s="19">
        <f>41252+(3*365)</f>
        <v>42347</v>
      </c>
      <c r="D63" s="18" t="s">
        <v>67</v>
      </c>
      <c r="E63" s="18" t="s">
        <v>59</v>
      </c>
      <c r="F63" s="21">
        <v>87</v>
      </c>
    </row>
    <row r="64" spans="2:6" x14ac:dyDescent="0.25">
      <c r="B64" s="27" t="s">
        <v>25</v>
      </c>
      <c r="C64" s="19">
        <f>41092+(3*365)</f>
        <v>42187</v>
      </c>
      <c r="D64" s="18" t="s">
        <v>78</v>
      </c>
      <c r="E64" s="18" t="s">
        <v>69</v>
      </c>
      <c r="F64" s="21">
        <v>1746</v>
      </c>
    </row>
    <row r="65" spans="2:6" x14ac:dyDescent="0.25">
      <c r="B65" s="27" t="s">
        <v>31</v>
      </c>
      <c r="C65" s="19">
        <f>40524+(3*365)</f>
        <v>41619</v>
      </c>
      <c r="D65" s="18" t="s">
        <v>70</v>
      </c>
      <c r="E65" s="18" t="s">
        <v>75</v>
      </c>
      <c r="F65" s="21">
        <v>696</v>
      </c>
    </row>
    <row r="66" spans="2:6" x14ac:dyDescent="0.25">
      <c r="B66" s="27" t="s">
        <v>11</v>
      </c>
      <c r="C66" s="19">
        <f>40687+(3*365)</f>
        <v>41782</v>
      </c>
      <c r="D66" s="18" t="s">
        <v>60</v>
      </c>
      <c r="E66" s="18" t="s">
        <v>61</v>
      </c>
      <c r="F66" s="21">
        <v>504</v>
      </c>
    </row>
    <row r="67" spans="2:6" x14ac:dyDescent="0.25">
      <c r="B67" s="27" t="s">
        <v>9</v>
      </c>
      <c r="C67" s="19">
        <f>39830+(3*365)</f>
        <v>40925</v>
      </c>
      <c r="D67" s="18" t="s">
        <v>62</v>
      </c>
      <c r="E67" s="18" t="s">
        <v>59</v>
      </c>
      <c r="F67" s="21">
        <v>272</v>
      </c>
    </row>
    <row r="68" spans="2:6" x14ac:dyDescent="0.25">
      <c r="B68" s="27" t="s">
        <v>10</v>
      </c>
      <c r="C68" s="19">
        <f>41122+(3*365)</f>
        <v>42217</v>
      </c>
      <c r="D68" s="18" t="s">
        <v>65</v>
      </c>
      <c r="E68" s="18" t="s">
        <v>63</v>
      </c>
      <c r="F68" s="21">
        <v>672</v>
      </c>
    </row>
    <row r="69" spans="2:6" x14ac:dyDescent="0.25">
      <c r="B69" s="27" t="s">
        <v>18</v>
      </c>
      <c r="C69" s="19">
        <f>40296+(3*365)</f>
        <v>41391</v>
      </c>
      <c r="D69" s="18" t="s">
        <v>68</v>
      </c>
      <c r="E69" s="18" t="s">
        <v>59</v>
      </c>
      <c r="F69" s="21">
        <v>888</v>
      </c>
    </row>
    <row r="70" spans="2:6" x14ac:dyDescent="0.25">
      <c r="B70" s="27" t="s">
        <v>9</v>
      </c>
      <c r="C70" s="19">
        <f>39850+(3*365)</f>
        <v>40945</v>
      </c>
      <c r="D70" s="18" t="s">
        <v>80</v>
      </c>
      <c r="E70" s="18" t="s">
        <v>66</v>
      </c>
      <c r="F70" s="21">
        <v>768</v>
      </c>
    </row>
    <row r="71" spans="2:6" x14ac:dyDescent="0.25">
      <c r="B71" s="27" t="s">
        <v>8</v>
      </c>
      <c r="C71" s="19">
        <f>40468+(3*365)</f>
        <v>41563</v>
      </c>
      <c r="D71" s="18" t="s">
        <v>81</v>
      </c>
      <c r="E71" s="18" t="s">
        <v>64</v>
      </c>
      <c r="F71" s="21">
        <v>22016</v>
      </c>
    </row>
    <row r="72" spans="2:6" x14ac:dyDescent="0.25">
      <c r="B72" s="27" t="s">
        <v>21</v>
      </c>
      <c r="C72" s="19">
        <f>40304+(3*365)</f>
        <v>41399</v>
      </c>
      <c r="D72" s="18" t="s">
        <v>58</v>
      </c>
      <c r="E72" s="18" t="s">
        <v>66</v>
      </c>
      <c r="F72" s="21">
        <v>480</v>
      </c>
    </row>
    <row r="73" spans="2:6" x14ac:dyDescent="0.25">
      <c r="B73" s="27" t="s">
        <v>31</v>
      </c>
      <c r="C73" s="19">
        <f>40880+(3*365)</f>
        <v>41975</v>
      </c>
      <c r="D73" s="18" t="s">
        <v>76</v>
      </c>
      <c r="E73" s="18" t="s">
        <v>63</v>
      </c>
      <c r="F73" s="21">
        <v>840</v>
      </c>
    </row>
    <row r="74" spans="2:6" x14ac:dyDescent="0.25">
      <c r="B74" s="27" t="s">
        <v>8</v>
      </c>
      <c r="C74" s="19">
        <f>40271+(3*365)</f>
        <v>41366</v>
      </c>
      <c r="D74" s="18" t="s">
        <v>77</v>
      </c>
      <c r="E74" s="18" t="s">
        <v>66</v>
      </c>
      <c r="F74" s="21">
        <v>2720</v>
      </c>
    </row>
    <row r="75" spans="2:6" x14ac:dyDescent="0.25">
      <c r="B75" s="27" t="s">
        <v>8</v>
      </c>
      <c r="C75" s="19">
        <f>39951+(3*365)</f>
        <v>41046</v>
      </c>
      <c r="D75" s="18" t="s">
        <v>81</v>
      </c>
      <c r="E75" s="18" t="s">
        <v>61</v>
      </c>
      <c r="F75" s="21">
        <v>1152</v>
      </c>
    </row>
    <row r="76" spans="2:6" x14ac:dyDescent="0.25">
      <c r="B76" s="27" t="s">
        <v>9</v>
      </c>
      <c r="C76" s="19">
        <f>40207+(3*365)</f>
        <v>41302</v>
      </c>
      <c r="D76" s="18" t="s">
        <v>80</v>
      </c>
      <c r="E76" s="18" t="s">
        <v>61</v>
      </c>
      <c r="F76" s="21">
        <v>644</v>
      </c>
    </row>
    <row r="77" spans="2:6" x14ac:dyDescent="0.25">
      <c r="B77" s="27" t="s">
        <v>10</v>
      </c>
      <c r="C77" s="19">
        <f>41191+(3*365)</f>
        <v>42286</v>
      </c>
      <c r="D77" s="18" t="s">
        <v>67</v>
      </c>
      <c r="E77" s="18" t="s">
        <v>75</v>
      </c>
      <c r="F77" s="21">
        <v>162</v>
      </c>
    </row>
    <row r="78" spans="2:6" x14ac:dyDescent="0.25">
      <c r="B78" s="27" t="s">
        <v>9</v>
      </c>
      <c r="C78" s="19">
        <f>40317+(3*365)</f>
        <v>41412</v>
      </c>
      <c r="D78" s="18" t="s">
        <v>80</v>
      </c>
      <c r="E78" s="18" t="s">
        <v>64</v>
      </c>
      <c r="F78" s="21">
        <v>6840</v>
      </c>
    </row>
    <row r="79" spans="2:6" x14ac:dyDescent="0.25">
      <c r="B79" s="27" t="s">
        <v>18</v>
      </c>
      <c r="C79" s="19">
        <f>40412+(3*365)</f>
        <v>41507</v>
      </c>
      <c r="D79" s="18" t="s">
        <v>71</v>
      </c>
      <c r="E79" s="18" t="s">
        <v>72</v>
      </c>
      <c r="F79" s="21">
        <v>606</v>
      </c>
    </row>
    <row r="80" spans="2:6" x14ac:dyDescent="0.25">
      <c r="B80" s="27" t="s">
        <v>31</v>
      </c>
      <c r="C80" s="19">
        <f>40682+(3*365)</f>
        <v>41777</v>
      </c>
      <c r="D80" s="18" t="s">
        <v>70</v>
      </c>
      <c r="E80" s="18" t="s">
        <v>59</v>
      </c>
      <c r="F80" s="21">
        <v>216</v>
      </c>
    </row>
    <row r="81" spans="2:6" x14ac:dyDescent="0.25">
      <c r="B81" s="27" t="s">
        <v>31</v>
      </c>
      <c r="C81" s="19">
        <f>40969+(3*365)</f>
        <v>42064</v>
      </c>
      <c r="D81" s="18" t="s">
        <v>70</v>
      </c>
      <c r="E81" s="18" t="s">
        <v>64</v>
      </c>
      <c r="F81" s="21">
        <v>4644</v>
      </c>
    </row>
    <row r="82" spans="2:6" x14ac:dyDescent="0.25">
      <c r="B82" s="27" t="s">
        <v>31</v>
      </c>
      <c r="C82" s="19">
        <f>39941+(3*365)</f>
        <v>41036</v>
      </c>
      <c r="D82" s="18" t="s">
        <v>70</v>
      </c>
      <c r="E82" s="18" t="s">
        <v>69</v>
      </c>
      <c r="F82" s="21">
        <v>924</v>
      </c>
    </row>
    <row r="83" spans="2:6" x14ac:dyDescent="0.25">
      <c r="B83" s="27" t="s">
        <v>11</v>
      </c>
      <c r="C83" s="19">
        <f>40410+(3*365)</f>
        <v>41505</v>
      </c>
      <c r="D83" s="18" t="s">
        <v>60</v>
      </c>
      <c r="E83" s="18" t="s">
        <v>75</v>
      </c>
      <c r="F83" s="21">
        <v>84</v>
      </c>
    </row>
    <row r="84" spans="2:6" x14ac:dyDescent="0.25">
      <c r="B84" s="27" t="s">
        <v>10</v>
      </c>
      <c r="C84" s="19">
        <f>40796+(3*365)</f>
        <v>41891</v>
      </c>
      <c r="D84" s="18" t="s">
        <v>65</v>
      </c>
      <c r="E84" s="18" t="s">
        <v>64</v>
      </c>
      <c r="F84" s="21">
        <v>1316</v>
      </c>
    </row>
    <row r="85" spans="2:6" x14ac:dyDescent="0.25">
      <c r="B85" s="27" t="s">
        <v>18</v>
      </c>
      <c r="C85" s="19">
        <f>40955+(3*365)</f>
        <v>42050</v>
      </c>
      <c r="D85" s="18" t="s">
        <v>68</v>
      </c>
      <c r="E85" s="18" t="s">
        <v>72</v>
      </c>
      <c r="F85" s="21">
        <v>675</v>
      </c>
    </row>
    <row r="86" spans="2:6" x14ac:dyDescent="0.25">
      <c r="B86" s="27" t="s">
        <v>10</v>
      </c>
      <c r="C86" s="19">
        <f>40766+(3*365)</f>
        <v>41861</v>
      </c>
      <c r="D86" s="18" t="s">
        <v>65</v>
      </c>
      <c r="E86" s="18" t="s">
        <v>75</v>
      </c>
      <c r="F86" s="21">
        <v>406</v>
      </c>
    </row>
    <row r="87" spans="2:6" x14ac:dyDescent="0.25">
      <c r="B87" s="27" t="s">
        <v>21</v>
      </c>
      <c r="C87" s="19">
        <f>40485+(3*365)</f>
        <v>41580</v>
      </c>
      <c r="D87" s="18" t="s">
        <v>58</v>
      </c>
      <c r="E87" s="18" t="s">
        <v>64</v>
      </c>
      <c r="F87" s="21">
        <v>736</v>
      </c>
    </row>
    <row r="88" spans="2:6" x14ac:dyDescent="0.25">
      <c r="B88" s="27" t="s">
        <v>8</v>
      </c>
      <c r="C88" s="19">
        <f>39860+(3*365)</f>
        <v>40955</v>
      </c>
      <c r="D88" s="18" t="s">
        <v>81</v>
      </c>
      <c r="E88" s="18" t="s">
        <v>75</v>
      </c>
      <c r="F88" s="21">
        <v>186</v>
      </c>
    </row>
    <row r="89" spans="2:6" x14ac:dyDescent="0.25">
      <c r="B89" s="27" t="s">
        <v>21</v>
      </c>
      <c r="C89" s="19">
        <f>40724+(3*365)</f>
        <v>41819</v>
      </c>
      <c r="D89" s="18" t="s">
        <v>73</v>
      </c>
      <c r="E89" s="18" t="s">
        <v>64</v>
      </c>
      <c r="F89" s="21">
        <v>19683</v>
      </c>
    </row>
    <row r="90" spans="2:6" x14ac:dyDescent="0.25">
      <c r="B90" s="27" t="s">
        <v>10</v>
      </c>
      <c r="C90" s="19">
        <f>40624+(3*365)</f>
        <v>41719</v>
      </c>
      <c r="D90" s="18" t="s">
        <v>65</v>
      </c>
      <c r="E90" s="18" t="s">
        <v>59</v>
      </c>
      <c r="F90" s="21">
        <v>306</v>
      </c>
    </row>
    <row r="91" spans="2:6" x14ac:dyDescent="0.25">
      <c r="B91" s="27" t="s">
        <v>9</v>
      </c>
      <c r="C91" s="19">
        <f>39849+(3*365)</f>
        <v>40944</v>
      </c>
      <c r="D91" s="18" t="s">
        <v>80</v>
      </c>
      <c r="E91" s="18" t="s">
        <v>64</v>
      </c>
      <c r="F91" s="21">
        <v>3176</v>
      </c>
    </row>
    <row r="92" spans="2:6" x14ac:dyDescent="0.25">
      <c r="B92" s="27" t="s">
        <v>11</v>
      </c>
      <c r="C92" s="19">
        <f>40954+(3*365)</f>
        <v>42049</v>
      </c>
      <c r="D92" s="18" t="s">
        <v>60</v>
      </c>
      <c r="E92" s="18" t="s">
        <v>59</v>
      </c>
      <c r="F92" s="21">
        <v>576</v>
      </c>
    </row>
    <row r="93" spans="2:6" x14ac:dyDescent="0.25">
      <c r="B93" s="27" t="s">
        <v>21</v>
      </c>
      <c r="C93" s="19">
        <f>40396+(3*365)</f>
        <v>41491</v>
      </c>
      <c r="D93" s="18" t="s">
        <v>73</v>
      </c>
      <c r="E93" s="18" t="s">
        <v>59</v>
      </c>
      <c r="F93" s="21">
        <v>360</v>
      </c>
    </row>
    <row r="94" spans="2:6" x14ac:dyDescent="0.25">
      <c r="B94" s="27" t="s">
        <v>25</v>
      </c>
      <c r="C94" s="19">
        <f>40378+(3*365)</f>
        <v>41473</v>
      </c>
      <c r="D94" s="18" t="s">
        <v>79</v>
      </c>
      <c r="E94" s="18" t="s">
        <v>64</v>
      </c>
      <c r="F94" s="21">
        <v>19089</v>
      </c>
    </row>
    <row r="95" spans="2:6" x14ac:dyDescent="0.25">
      <c r="B95" s="27" t="s">
        <v>11</v>
      </c>
      <c r="C95" s="19">
        <f>41024+(3*365)</f>
        <v>42119</v>
      </c>
      <c r="D95" s="18" t="s">
        <v>60</v>
      </c>
      <c r="E95" s="18" t="s">
        <v>75</v>
      </c>
      <c r="F95" s="21">
        <v>1008</v>
      </c>
    </row>
    <row r="96" spans="2:6" x14ac:dyDescent="0.25">
      <c r="B96" s="27" t="s">
        <v>9</v>
      </c>
      <c r="C96" s="19">
        <f>39827+(3*365)</f>
        <v>40922</v>
      </c>
      <c r="D96" s="18" t="s">
        <v>80</v>
      </c>
      <c r="E96" s="18" t="s">
        <v>63</v>
      </c>
      <c r="F96" s="21">
        <v>264</v>
      </c>
    </row>
    <row r="97" spans="2:6" x14ac:dyDescent="0.25">
      <c r="B97" s="27" t="s">
        <v>8</v>
      </c>
      <c r="C97" s="19">
        <f>40605+(3*365)</f>
        <v>41700</v>
      </c>
      <c r="D97" s="18" t="s">
        <v>81</v>
      </c>
      <c r="E97" s="18" t="s">
        <v>63</v>
      </c>
      <c r="F97" s="21">
        <v>736</v>
      </c>
    </row>
    <row r="98" spans="2:6" x14ac:dyDescent="0.25">
      <c r="B98" s="27" t="s">
        <v>18</v>
      </c>
      <c r="C98" s="19">
        <f>39989+(3*365)</f>
        <v>41084</v>
      </c>
      <c r="D98" s="18" t="s">
        <v>68</v>
      </c>
      <c r="E98" s="18" t="s">
        <v>72</v>
      </c>
      <c r="F98" s="21">
        <v>520</v>
      </c>
    </row>
    <row r="99" spans="2:6" x14ac:dyDescent="0.25">
      <c r="B99" s="27" t="s">
        <v>18</v>
      </c>
      <c r="C99" s="19">
        <f>40961+(3*365)</f>
        <v>42056</v>
      </c>
      <c r="D99" s="18" t="s">
        <v>68</v>
      </c>
      <c r="E99" s="18" t="s">
        <v>64</v>
      </c>
      <c r="F99" s="21">
        <v>8688</v>
      </c>
    </row>
    <row r="100" spans="2:6" x14ac:dyDescent="0.25">
      <c r="B100" s="27" t="s">
        <v>25</v>
      </c>
      <c r="C100" s="19">
        <f>40431+(3*365)</f>
        <v>41526</v>
      </c>
      <c r="D100" s="18" t="s">
        <v>78</v>
      </c>
      <c r="E100" s="18" t="s">
        <v>64</v>
      </c>
      <c r="F100" s="21">
        <v>2094</v>
      </c>
    </row>
    <row r="101" spans="2:6" x14ac:dyDescent="0.25">
      <c r="B101" s="27" t="s">
        <v>9</v>
      </c>
      <c r="C101" s="19">
        <f>40208+(3*365)</f>
        <v>41303</v>
      </c>
      <c r="D101" s="18" t="s">
        <v>62</v>
      </c>
      <c r="E101" s="18" t="s">
        <v>59</v>
      </c>
      <c r="F101" s="21">
        <v>72</v>
      </c>
    </row>
    <row r="102" spans="2:6" x14ac:dyDescent="0.25">
      <c r="B102" s="27" t="s">
        <v>8</v>
      </c>
      <c r="C102" s="19">
        <f>40149+(3*365)</f>
        <v>41244</v>
      </c>
      <c r="D102" s="18" t="s">
        <v>77</v>
      </c>
      <c r="E102" s="18" t="s">
        <v>72</v>
      </c>
      <c r="F102" s="21">
        <v>558</v>
      </c>
    </row>
    <row r="103" spans="2:6" x14ac:dyDescent="0.25">
      <c r="B103" s="27" t="s">
        <v>11</v>
      </c>
      <c r="C103" s="19">
        <f>40214+(3*365)</f>
        <v>41309</v>
      </c>
      <c r="D103" s="18" t="s">
        <v>74</v>
      </c>
      <c r="E103" s="18" t="s">
        <v>59</v>
      </c>
      <c r="F103" s="21">
        <v>624</v>
      </c>
    </row>
    <row r="104" spans="2:6" x14ac:dyDescent="0.25">
      <c r="B104" s="27" t="s">
        <v>11</v>
      </c>
      <c r="C104" s="19">
        <f>40103+(3*365)</f>
        <v>41198</v>
      </c>
      <c r="D104" s="18" t="s">
        <v>74</v>
      </c>
      <c r="E104" s="18" t="s">
        <v>63</v>
      </c>
      <c r="F104" s="21">
        <v>522</v>
      </c>
    </row>
    <row r="105" spans="2:6" x14ac:dyDescent="0.25">
      <c r="B105" s="27" t="s">
        <v>25</v>
      </c>
      <c r="C105" s="19">
        <f>41142+(3*365)</f>
        <v>42237</v>
      </c>
      <c r="D105" s="18" t="s">
        <v>79</v>
      </c>
      <c r="E105" s="18" t="s">
        <v>72</v>
      </c>
      <c r="F105" s="21">
        <v>3108</v>
      </c>
    </row>
    <row r="106" spans="2:6" x14ac:dyDescent="0.25">
      <c r="B106" s="27" t="s">
        <v>18</v>
      </c>
      <c r="C106" s="19">
        <f>39875+(3*365)</f>
        <v>40970</v>
      </c>
      <c r="D106" s="18" t="s">
        <v>68</v>
      </c>
      <c r="E106" s="18" t="s">
        <v>66</v>
      </c>
      <c r="F106" s="21">
        <v>492</v>
      </c>
    </row>
    <row r="107" spans="2:6" x14ac:dyDescent="0.25">
      <c r="B107" s="27" t="s">
        <v>11</v>
      </c>
      <c r="C107" s="19">
        <f>40604+(3*365)</f>
        <v>41699</v>
      </c>
      <c r="D107" s="18" t="s">
        <v>74</v>
      </c>
      <c r="E107" s="18" t="s">
        <v>66</v>
      </c>
      <c r="F107" s="21">
        <v>348</v>
      </c>
    </row>
    <row r="108" spans="2:6" x14ac:dyDescent="0.25">
      <c r="B108" s="27" t="s">
        <v>11</v>
      </c>
      <c r="C108" s="19">
        <f>40911+(3*365)</f>
        <v>42006</v>
      </c>
      <c r="D108" s="18" t="s">
        <v>74</v>
      </c>
      <c r="E108" s="18" t="s">
        <v>63</v>
      </c>
      <c r="F108" s="21">
        <v>1280</v>
      </c>
    </row>
    <row r="109" spans="2:6" x14ac:dyDescent="0.25">
      <c r="B109" s="27" t="s">
        <v>10</v>
      </c>
      <c r="C109" s="19">
        <f>40069+(3*365)</f>
        <v>41164</v>
      </c>
      <c r="D109" s="18" t="s">
        <v>65</v>
      </c>
      <c r="E109" s="18" t="s">
        <v>69</v>
      </c>
      <c r="F109" s="21">
        <v>1552</v>
      </c>
    </row>
    <row r="110" spans="2:6" x14ac:dyDescent="0.25">
      <c r="B110" s="27" t="s">
        <v>8</v>
      </c>
      <c r="C110" s="19">
        <f>40816+(3*365)</f>
        <v>41911</v>
      </c>
      <c r="D110" s="18" t="s">
        <v>77</v>
      </c>
      <c r="E110" s="18" t="s">
        <v>61</v>
      </c>
      <c r="F110" s="21">
        <v>1120</v>
      </c>
    </row>
    <row r="111" spans="2:6" x14ac:dyDescent="0.25">
      <c r="B111" s="27" t="s">
        <v>8</v>
      </c>
      <c r="C111" s="19">
        <f>39951+(3*365)</f>
        <v>41046</v>
      </c>
      <c r="D111" s="18" t="s">
        <v>77</v>
      </c>
      <c r="E111" s="18" t="s">
        <v>61</v>
      </c>
      <c r="F111" s="21">
        <v>270</v>
      </c>
    </row>
    <row r="112" spans="2:6" x14ac:dyDescent="0.25">
      <c r="B112" s="27" t="s">
        <v>10</v>
      </c>
      <c r="C112" s="19">
        <f>40853+(3*365)</f>
        <v>41948</v>
      </c>
      <c r="D112" s="18" t="s">
        <v>67</v>
      </c>
      <c r="E112" s="18" t="s">
        <v>63</v>
      </c>
      <c r="F112" s="21">
        <v>980</v>
      </c>
    </row>
    <row r="113" spans="2:6" x14ac:dyDescent="0.25">
      <c r="B113" s="27" t="s">
        <v>25</v>
      </c>
      <c r="C113" s="19">
        <f>41070+(3*365)</f>
        <v>42165</v>
      </c>
      <c r="D113" s="18" t="s">
        <v>79</v>
      </c>
      <c r="E113" s="18" t="s">
        <v>66</v>
      </c>
      <c r="F113" s="21">
        <v>768</v>
      </c>
    </row>
    <row r="114" spans="2:6" x14ac:dyDescent="0.25">
      <c r="B114" s="27" t="s">
        <v>21</v>
      </c>
      <c r="C114" s="19">
        <f>40426+(3*365)</f>
        <v>41521</v>
      </c>
      <c r="D114" s="18" t="s">
        <v>73</v>
      </c>
      <c r="E114" s="18" t="s">
        <v>61</v>
      </c>
      <c r="F114" s="21">
        <v>138</v>
      </c>
    </row>
    <row r="115" spans="2:6" x14ac:dyDescent="0.25">
      <c r="B115" s="27" t="s">
        <v>21</v>
      </c>
      <c r="C115" s="19">
        <f>41228+(3*365)</f>
        <v>42323</v>
      </c>
      <c r="D115" s="18" t="s">
        <v>58</v>
      </c>
      <c r="E115" s="18" t="s">
        <v>59</v>
      </c>
      <c r="F115" s="21">
        <v>936</v>
      </c>
    </row>
    <row r="116" spans="2:6" x14ac:dyDescent="0.25">
      <c r="B116" s="27" t="s">
        <v>25</v>
      </c>
      <c r="C116" s="19">
        <f>40258+(3*365)</f>
        <v>41353</v>
      </c>
      <c r="D116" s="18" t="s">
        <v>78</v>
      </c>
      <c r="E116" s="18" t="s">
        <v>64</v>
      </c>
      <c r="F116" s="21">
        <v>9810</v>
      </c>
    </row>
    <row r="117" spans="2:6" x14ac:dyDescent="0.25">
      <c r="B117" s="27" t="s">
        <v>18</v>
      </c>
      <c r="C117" s="19">
        <f>40016+(3*365)</f>
        <v>41111</v>
      </c>
      <c r="D117" s="18" t="s">
        <v>71</v>
      </c>
      <c r="E117" s="18" t="s">
        <v>61</v>
      </c>
      <c r="F117" s="21">
        <v>1024</v>
      </c>
    </row>
    <row r="118" spans="2:6" x14ac:dyDescent="0.25">
      <c r="B118" s="27" t="s">
        <v>25</v>
      </c>
      <c r="C118" s="19">
        <f>40506+(3*365)</f>
        <v>41601</v>
      </c>
      <c r="D118" s="18" t="s">
        <v>79</v>
      </c>
      <c r="E118" s="18" t="s">
        <v>66</v>
      </c>
      <c r="F118" s="21">
        <v>1701</v>
      </c>
    </row>
    <row r="119" spans="2:6" x14ac:dyDescent="0.25">
      <c r="B119" s="27" t="s">
        <v>18</v>
      </c>
      <c r="C119" s="19">
        <f>39849+(3*365)</f>
        <v>40944</v>
      </c>
      <c r="D119" s="18" t="s">
        <v>71</v>
      </c>
      <c r="E119" s="18" t="s">
        <v>61</v>
      </c>
      <c r="F119" s="21">
        <v>590</v>
      </c>
    </row>
    <row r="120" spans="2:6" x14ac:dyDescent="0.25">
      <c r="B120" s="27" t="s">
        <v>31</v>
      </c>
      <c r="C120" s="19">
        <f>39984+(3*365)</f>
        <v>41079</v>
      </c>
      <c r="D120" s="18" t="s">
        <v>76</v>
      </c>
      <c r="E120" s="18" t="s">
        <v>75</v>
      </c>
      <c r="F120" s="21">
        <v>90</v>
      </c>
    </row>
    <row r="121" spans="2:6" x14ac:dyDescent="0.25">
      <c r="B121" s="27" t="s">
        <v>18</v>
      </c>
      <c r="C121" s="19">
        <f>40000+(3*365)</f>
        <v>41095</v>
      </c>
      <c r="D121" s="18" t="s">
        <v>68</v>
      </c>
      <c r="E121" s="18" t="s">
        <v>63</v>
      </c>
      <c r="F121" s="21">
        <v>700</v>
      </c>
    </row>
    <row r="122" spans="2:6" x14ac:dyDescent="0.25">
      <c r="B122" s="27" t="s">
        <v>9</v>
      </c>
      <c r="C122" s="19">
        <f>40459+(3*365)</f>
        <v>41554</v>
      </c>
      <c r="D122" s="18" t="s">
        <v>62</v>
      </c>
      <c r="E122" s="18" t="s">
        <v>75</v>
      </c>
      <c r="F122" s="21">
        <v>224</v>
      </c>
    </row>
    <row r="123" spans="2:6" x14ac:dyDescent="0.25">
      <c r="B123" s="27" t="s">
        <v>18</v>
      </c>
      <c r="C123" s="19">
        <f>40500+(3*365)</f>
        <v>41595</v>
      </c>
      <c r="D123" s="18" t="s">
        <v>68</v>
      </c>
      <c r="E123" s="18" t="s">
        <v>61</v>
      </c>
      <c r="F123" s="21">
        <v>1350</v>
      </c>
    </row>
    <row r="124" spans="2:6" x14ac:dyDescent="0.25">
      <c r="B124" s="27" t="s">
        <v>9</v>
      </c>
      <c r="C124" s="19">
        <f>41140+(3*365)</f>
        <v>42235</v>
      </c>
      <c r="D124" s="18" t="s">
        <v>80</v>
      </c>
      <c r="E124" s="18" t="s">
        <v>72</v>
      </c>
      <c r="F124" s="21">
        <v>148</v>
      </c>
    </row>
    <row r="125" spans="2:6" x14ac:dyDescent="0.25">
      <c r="B125" s="27" t="s">
        <v>21</v>
      </c>
      <c r="C125" s="19">
        <f>39906+(3*365)</f>
        <v>41001</v>
      </c>
      <c r="D125" s="18" t="s">
        <v>58</v>
      </c>
      <c r="E125" s="18" t="s">
        <v>64</v>
      </c>
      <c r="F125" s="21">
        <v>930</v>
      </c>
    </row>
    <row r="126" spans="2:6" x14ac:dyDescent="0.25">
      <c r="B126" s="27" t="s">
        <v>18</v>
      </c>
      <c r="C126" s="19">
        <f>40190+(3*365)</f>
        <v>41285</v>
      </c>
      <c r="D126" s="18" t="s">
        <v>68</v>
      </c>
      <c r="E126" s="18" t="s">
        <v>59</v>
      </c>
      <c r="F126" s="21">
        <v>504</v>
      </c>
    </row>
    <row r="127" spans="2:6" x14ac:dyDescent="0.25">
      <c r="B127" s="27" t="s">
        <v>9</v>
      </c>
      <c r="C127" s="19">
        <f>40307+(3*365)</f>
        <v>41402</v>
      </c>
      <c r="D127" s="18" t="s">
        <v>62</v>
      </c>
      <c r="E127" s="18" t="s">
        <v>72</v>
      </c>
      <c r="F127" s="21">
        <v>3712</v>
      </c>
    </row>
    <row r="128" spans="2:6" x14ac:dyDescent="0.25">
      <c r="B128" s="27" t="s">
        <v>11</v>
      </c>
      <c r="C128" s="19">
        <f>40488+(3*365)</f>
        <v>41583</v>
      </c>
      <c r="D128" s="18" t="s">
        <v>74</v>
      </c>
      <c r="E128" s="18" t="s">
        <v>72</v>
      </c>
      <c r="F128" s="21">
        <v>1425</v>
      </c>
    </row>
    <row r="129" spans="2:6" x14ac:dyDescent="0.25">
      <c r="B129" s="27" t="s">
        <v>25</v>
      </c>
      <c r="C129" s="19">
        <f>40960+(3*365)</f>
        <v>42055</v>
      </c>
      <c r="D129" s="18" t="s">
        <v>78</v>
      </c>
      <c r="E129" s="18" t="s">
        <v>69</v>
      </c>
      <c r="F129" s="21">
        <v>1188</v>
      </c>
    </row>
    <row r="130" spans="2:6" x14ac:dyDescent="0.25">
      <c r="B130" s="27" t="s">
        <v>9</v>
      </c>
      <c r="C130" s="19">
        <f>40963+(3*365)</f>
        <v>42058</v>
      </c>
      <c r="D130" s="18" t="s">
        <v>80</v>
      </c>
      <c r="E130" s="18" t="s">
        <v>69</v>
      </c>
      <c r="F130" s="21">
        <v>870</v>
      </c>
    </row>
    <row r="131" spans="2:6" x14ac:dyDescent="0.25">
      <c r="B131" s="27" t="s">
        <v>21</v>
      </c>
      <c r="C131" s="19">
        <f>40087+(3*365)</f>
        <v>41182</v>
      </c>
      <c r="D131" s="18" t="s">
        <v>58</v>
      </c>
      <c r="E131" s="18" t="s">
        <v>66</v>
      </c>
      <c r="F131" s="21">
        <v>462</v>
      </c>
    </row>
    <row r="132" spans="2:6" x14ac:dyDescent="0.25">
      <c r="B132" s="27" t="s">
        <v>9</v>
      </c>
      <c r="C132" s="19">
        <f>40364+(3*365)</f>
        <v>41459</v>
      </c>
      <c r="D132" s="18" t="s">
        <v>80</v>
      </c>
      <c r="E132" s="18" t="s">
        <v>61</v>
      </c>
      <c r="F132" s="21">
        <v>768</v>
      </c>
    </row>
    <row r="133" spans="2:6" x14ac:dyDescent="0.25">
      <c r="B133" s="27" t="s">
        <v>25</v>
      </c>
      <c r="C133" s="19">
        <f>40172+(3*365)</f>
        <v>41267</v>
      </c>
      <c r="D133" s="18" t="s">
        <v>79</v>
      </c>
      <c r="E133" s="18" t="s">
        <v>59</v>
      </c>
      <c r="F133" s="21">
        <v>220</v>
      </c>
    </row>
    <row r="134" spans="2:6" x14ac:dyDescent="0.25">
      <c r="B134" s="27" t="s">
        <v>25</v>
      </c>
      <c r="C134" s="19">
        <f>40387+(3*365)</f>
        <v>41482</v>
      </c>
      <c r="D134" s="18" t="s">
        <v>78</v>
      </c>
      <c r="E134" s="18" t="s">
        <v>63</v>
      </c>
      <c r="F134" s="21">
        <v>276</v>
      </c>
    </row>
    <row r="135" spans="2:6" x14ac:dyDescent="0.25">
      <c r="B135" s="27" t="s">
        <v>21</v>
      </c>
      <c r="C135" s="19">
        <f>40644+(3*365)</f>
        <v>41739</v>
      </c>
      <c r="D135" s="18" t="s">
        <v>58</v>
      </c>
      <c r="E135" s="18" t="s">
        <v>72</v>
      </c>
      <c r="F135" s="21">
        <v>960</v>
      </c>
    </row>
    <row r="136" spans="2:6" x14ac:dyDescent="0.25">
      <c r="B136" s="27" t="s">
        <v>18</v>
      </c>
      <c r="C136" s="19">
        <f>40437+(3*365)</f>
        <v>41532</v>
      </c>
      <c r="D136" s="18" t="s">
        <v>71</v>
      </c>
      <c r="E136" s="18" t="s">
        <v>69</v>
      </c>
      <c r="F136" s="21">
        <v>4860</v>
      </c>
    </row>
    <row r="137" spans="2:6" x14ac:dyDescent="0.25">
      <c r="B137" s="27" t="s">
        <v>8</v>
      </c>
      <c r="C137" s="19">
        <f>39894+(3*365)</f>
        <v>40989</v>
      </c>
      <c r="D137" s="18" t="s">
        <v>81</v>
      </c>
      <c r="E137" s="18" t="s">
        <v>72</v>
      </c>
      <c r="F137" s="21">
        <v>1344</v>
      </c>
    </row>
    <row r="138" spans="2:6" x14ac:dyDescent="0.25">
      <c r="B138" s="27" t="s">
        <v>8</v>
      </c>
      <c r="C138" s="19">
        <f>40264+(3*365)</f>
        <v>41359</v>
      </c>
      <c r="D138" s="18" t="s">
        <v>77</v>
      </c>
      <c r="E138" s="18" t="s">
        <v>61</v>
      </c>
      <c r="F138" s="21">
        <v>900</v>
      </c>
    </row>
    <row r="139" spans="2:6" x14ac:dyDescent="0.25">
      <c r="B139" s="27" t="s">
        <v>9</v>
      </c>
      <c r="C139" s="19">
        <f>40487+(3*365)</f>
        <v>41582</v>
      </c>
      <c r="D139" s="18" t="s">
        <v>80</v>
      </c>
      <c r="E139" s="18" t="s">
        <v>66</v>
      </c>
      <c r="F139" s="21">
        <v>164</v>
      </c>
    </row>
    <row r="140" spans="2:6" x14ac:dyDescent="0.25">
      <c r="B140" s="27" t="s">
        <v>25</v>
      </c>
      <c r="C140" s="19">
        <f>41093+(3*365)</f>
        <v>42188</v>
      </c>
      <c r="D140" s="18" t="s">
        <v>78</v>
      </c>
      <c r="E140" s="18" t="s">
        <v>63</v>
      </c>
      <c r="F140" s="21">
        <v>470</v>
      </c>
    </row>
    <row r="141" spans="2:6" x14ac:dyDescent="0.25">
      <c r="B141" s="27" t="s">
        <v>25</v>
      </c>
      <c r="C141" s="19">
        <f>40051+(3*365)</f>
        <v>41146</v>
      </c>
      <c r="D141" s="18" t="s">
        <v>78</v>
      </c>
      <c r="E141" s="18" t="s">
        <v>75</v>
      </c>
      <c r="F141" s="21">
        <v>476</v>
      </c>
    </row>
    <row r="142" spans="2:6" x14ac:dyDescent="0.25">
      <c r="B142" s="27" t="s">
        <v>11</v>
      </c>
      <c r="C142" s="19">
        <f>39843+(3*365)</f>
        <v>40938</v>
      </c>
      <c r="D142" s="18" t="s">
        <v>74</v>
      </c>
      <c r="E142" s="18" t="s">
        <v>64</v>
      </c>
      <c r="F142" s="21">
        <v>3540</v>
      </c>
    </row>
    <row r="143" spans="2:6" x14ac:dyDescent="0.25">
      <c r="B143" s="27" t="s">
        <v>9</v>
      </c>
      <c r="C143" s="19">
        <f>40589+(3*365)</f>
        <v>41684</v>
      </c>
      <c r="D143" s="18" t="s">
        <v>80</v>
      </c>
      <c r="E143" s="18" t="s">
        <v>72</v>
      </c>
      <c r="F143" s="21">
        <v>603</v>
      </c>
    </row>
    <row r="144" spans="2:6" x14ac:dyDescent="0.25">
      <c r="B144" s="27" t="s">
        <v>8</v>
      </c>
      <c r="C144" s="19">
        <f>41222+(3*365)</f>
        <v>42317</v>
      </c>
      <c r="D144" s="18" t="s">
        <v>81</v>
      </c>
      <c r="E144" s="18" t="s">
        <v>69</v>
      </c>
      <c r="F144" s="21">
        <v>3000</v>
      </c>
    </row>
    <row r="145" spans="2:6" x14ac:dyDescent="0.25">
      <c r="B145" s="27" t="s">
        <v>11</v>
      </c>
      <c r="C145" s="19">
        <f>40588+(3*365)</f>
        <v>41683</v>
      </c>
      <c r="D145" s="18" t="s">
        <v>74</v>
      </c>
      <c r="E145" s="18" t="s">
        <v>64</v>
      </c>
      <c r="F145" s="21">
        <v>2763</v>
      </c>
    </row>
    <row r="146" spans="2:6" x14ac:dyDescent="0.25">
      <c r="B146" s="27" t="s">
        <v>8</v>
      </c>
      <c r="C146" s="19">
        <f>40875+(3*365)</f>
        <v>41970</v>
      </c>
      <c r="D146" s="18" t="s">
        <v>81</v>
      </c>
      <c r="E146" s="18" t="s">
        <v>72</v>
      </c>
      <c r="F146" s="21">
        <v>4320</v>
      </c>
    </row>
    <row r="147" spans="2:6" x14ac:dyDescent="0.25">
      <c r="B147" s="27" t="s">
        <v>21</v>
      </c>
      <c r="C147" s="19">
        <f>40367+(3*365)</f>
        <v>41462</v>
      </c>
      <c r="D147" s="18" t="s">
        <v>58</v>
      </c>
      <c r="E147" s="18" t="s">
        <v>63</v>
      </c>
      <c r="F147" s="21">
        <v>812</v>
      </c>
    </row>
    <row r="148" spans="2:6" x14ac:dyDescent="0.25">
      <c r="B148" s="27" t="s">
        <v>21</v>
      </c>
      <c r="C148" s="19">
        <f>40173+(3*365)</f>
        <v>41268</v>
      </c>
      <c r="D148" s="18" t="s">
        <v>58</v>
      </c>
      <c r="E148" s="18" t="s">
        <v>61</v>
      </c>
      <c r="F148" s="21">
        <v>376</v>
      </c>
    </row>
    <row r="149" spans="2:6" x14ac:dyDescent="0.25">
      <c r="B149" s="27" t="s">
        <v>9</v>
      </c>
      <c r="C149" s="19">
        <f>40537+(3*365)</f>
        <v>41632</v>
      </c>
      <c r="D149" s="18" t="s">
        <v>80</v>
      </c>
      <c r="E149" s="18" t="s">
        <v>61</v>
      </c>
      <c r="F149" s="21">
        <v>1022</v>
      </c>
    </row>
    <row r="150" spans="2:6" x14ac:dyDescent="0.25">
      <c r="B150" s="27" t="s">
        <v>25</v>
      </c>
      <c r="C150" s="19">
        <f>41182+(3*365)</f>
        <v>42277</v>
      </c>
      <c r="D150" s="18" t="s">
        <v>78</v>
      </c>
      <c r="E150" s="18" t="s">
        <v>61</v>
      </c>
      <c r="F150" s="21">
        <v>944</v>
      </c>
    </row>
    <row r="151" spans="2:6" x14ac:dyDescent="0.25">
      <c r="B151" s="27" t="s">
        <v>21</v>
      </c>
      <c r="C151" s="19">
        <f>40533+(3*365)</f>
        <v>41628</v>
      </c>
      <c r="D151" s="18" t="s">
        <v>73</v>
      </c>
      <c r="E151" s="18" t="s">
        <v>69</v>
      </c>
      <c r="F151" s="21">
        <v>1944</v>
      </c>
    </row>
    <row r="152" spans="2:6" x14ac:dyDescent="0.25">
      <c r="B152" s="27" t="s">
        <v>21</v>
      </c>
      <c r="C152" s="19">
        <f>39814+(3*365)</f>
        <v>40909</v>
      </c>
      <c r="D152" s="18" t="s">
        <v>73</v>
      </c>
      <c r="E152" s="18" t="s">
        <v>69</v>
      </c>
      <c r="F152" s="21">
        <v>732</v>
      </c>
    </row>
    <row r="153" spans="2:6" x14ac:dyDescent="0.25">
      <c r="B153" s="27" t="s">
        <v>18</v>
      </c>
      <c r="C153" s="19">
        <f>40809+(3*365)</f>
        <v>41904</v>
      </c>
      <c r="D153" s="18" t="s">
        <v>68</v>
      </c>
      <c r="E153" s="18" t="s">
        <v>75</v>
      </c>
      <c r="F153" s="21">
        <v>1368</v>
      </c>
    </row>
    <row r="154" spans="2:6" x14ac:dyDescent="0.25">
      <c r="B154" s="27" t="s">
        <v>25</v>
      </c>
      <c r="C154" s="19">
        <f>40858+(3*365)</f>
        <v>41953</v>
      </c>
      <c r="D154" s="18" t="s">
        <v>79</v>
      </c>
      <c r="E154" s="18" t="s">
        <v>63</v>
      </c>
      <c r="F154" s="21">
        <v>312</v>
      </c>
    </row>
    <row r="155" spans="2:6" x14ac:dyDescent="0.25">
      <c r="B155" s="27" t="s">
        <v>11</v>
      </c>
      <c r="C155" s="19">
        <f>40971+(3*365)</f>
        <v>42066</v>
      </c>
      <c r="D155" s="18" t="s">
        <v>60</v>
      </c>
      <c r="E155" s="18" t="s">
        <v>69</v>
      </c>
      <c r="F155" s="21">
        <v>4448</v>
      </c>
    </row>
    <row r="156" spans="2:6" x14ac:dyDescent="0.25">
      <c r="B156" s="27" t="s">
        <v>11</v>
      </c>
      <c r="C156" s="19">
        <f>41040+(3*365)</f>
        <v>42135</v>
      </c>
      <c r="D156" s="18" t="s">
        <v>74</v>
      </c>
      <c r="E156" s="18" t="s">
        <v>64</v>
      </c>
      <c r="F156" s="21">
        <v>3156</v>
      </c>
    </row>
    <row r="157" spans="2:6" x14ac:dyDescent="0.25">
      <c r="B157" s="27" t="s">
        <v>25</v>
      </c>
      <c r="C157" s="19">
        <f>40858+(3*365)</f>
        <v>41953</v>
      </c>
      <c r="D157" s="18" t="s">
        <v>78</v>
      </c>
      <c r="E157" s="18" t="s">
        <v>59</v>
      </c>
      <c r="F157" s="21">
        <v>644</v>
      </c>
    </row>
    <row r="158" spans="2:6" x14ac:dyDescent="0.25">
      <c r="B158" s="27" t="s">
        <v>21</v>
      </c>
      <c r="C158" s="19">
        <f>40712+(3*365)</f>
        <v>41807</v>
      </c>
      <c r="D158" s="18" t="s">
        <v>58</v>
      </c>
      <c r="E158" s="18" t="s">
        <v>63</v>
      </c>
      <c r="F158" s="21">
        <v>1728</v>
      </c>
    </row>
    <row r="159" spans="2:6" x14ac:dyDescent="0.25">
      <c r="B159" s="27" t="s">
        <v>11</v>
      </c>
      <c r="C159" s="19">
        <f>39927+(3*365)</f>
        <v>41022</v>
      </c>
      <c r="D159" s="18" t="s">
        <v>74</v>
      </c>
      <c r="E159" s="18" t="s">
        <v>72</v>
      </c>
      <c r="F159" s="21">
        <v>405</v>
      </c>
    </row>
    <row r="160" spans="2:6" x14ac:dyDescent="0.25">
      <c r="B160" s="27" t="s">
        <v>11</v>
      </c>
      <c r="C160" s="19">
        <f>39945+(3*365)</f>
        <v>41040</v>
      </c>
      <c r="D160" s="18" t="s">
        <v>74</v>
      </c>
      <c r="E160" s="18" t="s">
        <v>75</v>
      </c>
      <c r="F160" s="21">
        <v>180</v>
      </c>
    </row>
    <row r="161" spans="2:6" x14ac:dyDescent="0.25">
      <c r="B161" s="27" t="s">
        <v>10</v>
      </c>
      <c r="C161" s="19">
        <f>39918+(3*365)</f>
        <v>41013</v>
      </c>
      <c r="D161" s="18" t="s">
        <v>67</v>
      </c>
      <c r="E161" s="18" t="s">
        <v>66</v>
      </c>
      <c r="F161" s="21">
        <v>992</v>
      </c>
    </row>
    <row r="162" spans="2:6" x14ac:dyDescent="0.25">
      <c r="B162" s="27" t="s">
        <v>25</v>
      </c>
      <c r="C162" s="19">
        <f>40859+(3*365)</f>
        <v>41954</v>
      </c>
      <c r="D162" s="18" t="s">
        <v>78</v>
      </c>
      <c r="E162" s="18" t="s">
        <v>61</v>
      </c>
      <c r="F162" s="21">
        <v>1476</v>
      </c>
    </row>
    <row r="163" spans="2:6" x14ac:dyDescent="0.25">
      <c r="B163" s="27" t="s">
        <v>9</v>
      </c>
      <c r="C163" s="19">
        <f>40493+(3*365)</f>
        <v>41588</v>
      </c>
      <c r="D163" s="18" t="s">
        <v>80</v>
      </c>
      <c r="E163" s="18" t="s">
        <v>63</v>
      </c>
      <c r="F163" s="21">
        <v>312</v>
      </c>
    </row>
    <row r="164" spans="2:6" x14ac:dyDescent="0.25">
      <c r="B164" s="27" t="s">
        <v>31</v>
      </c>
      <c r="C164" s="19">
        <f>40031+(3*365)</f>
        <v>41126</v>
      </c>
      <c r="D164" s="18" t="s">
        <v>70</v>
      </c>
      <c r="E164" s="18" t="s">
        <v>59</v>
      </c>
      <c r="F164" s="21">
        <v>558</v>
      </c>
    </row>
    <row r="165" spans="2:6" x14ac:dyDescent="0.25">
      <c r="B165" s="27" t="s">
        <v>9</v>
      </c>
      <c r="C165" s="19">
        <f>39901+(3*365)</f>
        <v>40996</v>
      </c>
      <c r="D165" s="18" t="s">
        <v>80</v>
      </c>
      <c r="E165" s="18" t="s">
        <v>63</v>
      </c>
      <c r="F165" s="21">
        <v>312</v>
      </c>
    </row>
    <row r="166" spans="2:6" x14ac:dyDescent="0.25">
      <c r="B166" s="27" t="s">
        <v>18</v>
      </c>
      <c r="C166" s="19">
        <f>40671+(3*365)</f>
        <v>41766</v>
      </c>
      <c r="D166" s="18" t="s">
        <v>68</v>
      </c>
      <c r="E166" s="18" t="s">
        <v>66</v>
      </c>
      <c r="F166" s="21">
        <v>2880</v>
      </c>
    </row>
    <row r="167" spans="2:6" x14ac:dyDescent="0.25">
      <c r="B167" s="27" t="s">
        <v>25</v>
      </c>
      <c r="C167" s="19">
        <f>41027+(3*365)</f>
        <v>42122</v>
      </c>
      <c r="D167" s="18" t="s">
        <v>78</v>
      </c>
      <c r="E167" s="18" t="s">
        <v>66</v>
      </c>
      <c r="F167" s="21">
        <v>784</v>
      </c>
    </row>
    <row r="168" spans="2:6" x14ac:dyDescent="0.25">
      <c r="B168" s="27" t="s">
        <v>11</v>
      </c>
      <c r="C168" s="19">
        <f>39853+(3*365)</f>
        <v>40948</v>
      </c>
      <c r="D168" s="18" t="s">
        <v>74</v>
      </c>
      <c r="E168" s="18" t="s">
        <v>61</v>
      </c>
      <c r="F168" s="21">
        <v>288</v>
      </c>
    </row>
    <row r="169" spans="2:6" x14ac:dyDescent="0.25">
      <c r="B169" s="27" t="s">
        <v>21</v>
      </c>
      <c r="C169" s="19">
        <f>40020+(3*365)</f>
        <v>41115</v>
      </c>
      <c r="D169" s="18" t="s">
        <v>73</v>
      </c>
      <c r="E169" s="18" t="s">
        <v>64</v>
      </c>
      <c r="F169" s="21">
        <v>2450</v>
      </c>
    </row>
    <row r="170" spans="2:6" x14ac:dyDescent="0.25">
      <c r="B170" s="27" t="s">
        <v>21</v>
      </c>
      <c r="C170" s="19">
        <f>40529+(3*365)</f>
        <v>41624</v>
      </c>
      <c r="D170" s="18" t="s">
        <v>58</v>
      </c>
      <c r="E170" s="18" t="s">
        <v>59</v>
      </c>
      <c r="F170" s="21">
        <v>204</v>
      </c>
    </row>
    <row r="171" spans="2:6" x14ac:dyDescent="0.25">
      <c r="B171" s="27" t="s">
        <v>31</v>
      </c>
      <c r="C171" s="19">
        <f>41229+(3*365)</f>
        <v>42324</v>
      </c>
      <c r="D171" s="18" t="s">
        <v>76</v>
      </c>
      <c r="E171" s="18" t="s">
        <v>72</v>
      </c>
      <c r="F171" s="21">
        <v>2835</v>
      </c>
    </row>
    <row r="172" spans="2:6" x14ac:dyDescent="0.25">
      <c r="B172" s="27" t="s">
        <v>8</v>
      </c>
      <c r="C172" s="19">
        <f>40395+(3*365)</f>
        <v>41490</v>
      </c>
      <c r="D172" s="18" t="s">
        <v>81</v>
      </c>
      <c r="E172" s="18" t="s">
        <v>75</v>
      </c>
      <c r="F172" s="21">
        <v>80</v>
      </c>
    </row>
    <row r="173" spans="2:6" x14ac:dyDescent="0.25">
      <c r="B173" s="27" t="s">
        <v>25</v>
      </c>
      <c r="C173" s="19">
        <f>39893+(3*365)</f>
        <v>40988</v>
      </c>
      <c r="D173" s="18" t="s">
        <v>79</v>
      </c>
      <c r="E173" s="18" t="s">
        <v>63</v>
      </c>
      <c r="F173" s="21">
        <v>360</v>
      </c>
    </row>
    <row r="174" spans="2:6" x14ac:dyDescent="0.25">
      <c r="B174" s="27" t="s">
        <v>25</v>
      </c>
      <c r="C174" s="19">
        <f>40667+(3*365)</f>
        <v>41762</v>
      </c>
      <c r="D174" s="18" t="s">
        <v>79</v>
      </c>
      <c r="E174" s="18" t="s">
        <v>59</v>
      </c>
      <c r="F174" s="21">
        <v>232</v>
      </c>
    </row>
    <row r="175" spans="2:6" x14ac:dyDescent="0.25">
      <c r="B175" s="27" t="s">
        <v>18</v>
      </c>
      <c r="C175" s="19">
        <f>39822+(3*365)</f>
        <v>40917</v>
      </c>
      <c r="D175" s="18" t="s">
        <v>68</v>
      </c>
      <c r="E175" s="18" t="s">
        <v>61</v>
      </c>
      <c r="F175" s="21">
        <v>116</v>
      </c>
    </row>
    <row r="176" spans="2:6" x14ac:dyDescent="0.25">
      <c r="B176" s="27" t="s">
        <v>11</v>
      </c>
      <c r="C176" s="19">
        <f>39876+(3*365)</f>
        <v>40971</v>
      </c>
      <c r="D176" s="18" t="s">
        <v>60</v>
      </c>
      <c r="E176" s="18" t="s">
        <v>69</v>
      </c>
      <c r="F176" s="21">
        <v>693</v>
      </c>
    </row>
    <row r="177" spans="2:6" x14ac:dyDescent="0.25">
      <c r="B177" s="27" t="s">
        <v>18</v>
      </c>
      <c r="C177" s="19">
        <f>40047+(3*365)</f>
        <v>41142</v>
      </c>
      <c r="D177" s="18" t="s">
        <v>68</v>
      </c>
      <c r="E177" s="18" t="s">
        <v>61</v>
      </c>
      <c r="F177" s="21">
        <v>176</v>
      </c>
    </row>
    <row r="178" spans="2:6" x14ac:dyDescent="0.25">
      <c r="B178" s="27" t="s">
        <v>9</v>
      </c>
      <c r="C178" s="19">
        <f>40836+(3*365)</f>
        <v>41931</v>
      </c>
      <c r="D178" s="18" t="s">
        <v>80</v>
      </c>
      <c r="E178" s="18" t="s">
        <v>72</v>
      </c>
      <c r="F178" s="21">
        <v>2685</v>
      </c>
    </row>
    <row r="179" spans="2:6" x14ac:dyDescent="0.25">
      <c r="B179" s="27" t="s">
        <v>10</v>
      </c>
      <c r="C179" s="19">
        <f>40690+(3*365)</f>
        <v>41785</v>
      </c>
      <c r="D179" s="18" t="s">
        <v>65</v>
      </c>
      <c r="E179" s="18" t="s">
        <v>59</v>
      </c>
      <c r="F179" s="21">
        <v>308</v>
      </c>
    </row>
    <row r="180" spans="2:6" x14ac:dyDescent="0.25">
      <c r="B180" s="27" t="s">
        <v>25</v>
      </c>
      <c r="C180" s="19">
        <f>40003+(3*365)</f>
        <v>41098</v>
      </c>
      <c r="D180" s="18" t="s">
        <v>79</v>
      </c>
      <c r="E180" s="18" t="s">
        <v>61</v>
      </c>
      <c r="F180" s="21">
        <v>60</v>
      </c>
    </row>
    <row r="181" spans="2:6" x14ac:dyDescent="0.25">
      <c r="B181" s="27" t="s">
        <v>11</v>
      </c>
      <c r="C181" s="19">
        <f>39968+(3*365)</f>
        <v>41063</v>
      </c>
      <c r="D181" s="18" t="s">
        <v>60</v>
      </c>
      <c r="E181" s="18" t="s">
        <v>64</v>
      </c>
      <c r="F181" s="21">
        <v>16335</v>
      </c>
    </row>
    <row r="182" spans="2:6" x14ac:dyDescent="0.25">
      <c r="B182" s="27" t="s">
        <v>8</v>
      </c>
      <c r="C182" s="19">
        <f>40965+(3*365)</f>
        <v>42060</v>
      </c>
      <c r="D182" s="18" t="s">
        <v>81</v>
      </c>
      <c r="E182" s="18" t="s">
        <v>66</v>
      </c>
      <c r="F182" s="21">
        <v>720</v>
      </c>
    </row>
    <row r="183" spans="2:6" x14ac:dyDescent="0.25">
      <c r="B183" s="27" t="s">
        <v>31</v>
      </c>
      <c r="C183" s="19">
        <f>41221+(3*365)</f>
        <v>42316</v>
      </c>
      <c r="D183" s="18" t="s">
        <v>76</v>
      </c>
      <c r="E183" s="18" t="s">
        <v>75</v>
      </c>
      <c r="F183" s="21">
        <v>324</v>
      </c>
    </row>
    <row r="184" spans="2:6" x14ac:dyDescent="0.25">
      <c r="B184" s="27" t="s">
        <v>21</v>
      </c>
      <c r="C184" s="19">
        <f>39881+(3*365)</f>
        <v>40976</v>
      </c>
      <c r="D184" s="18" t="s">
        <v>58</v>
      </c>
      <c r="E184" s="18" t="s">
        <v>72</v>
      </c>
      <c r="F184" s="21">
        <v>166</v>
      </c>
    </row>
    <row r="185" spans="2:6" x14ac:dyDescent="0.25">
      <c r="B185" s="27" t="s">
        <v>25</v>
      </c>
      <c r="C185" s="19">
        <f>40166+(3*365)</f>
        <v>41261</v>
      </c>
      <c r="D185" s="18" t="s">
        <v>78</v>
      </c>
      <c r="E185" s="18" t="s">
        <v>61</v>
      </c>
      <c r="F185" s="21">
        <v>400</v>
      </c>
    </row>
    <row r="186" spans="2:6" x14ac:dyDescent="0.25">
      <c r="B186" s="27" t="s">
        <v>10</v>
      </c>
      <c r="C186" s="19">
        <f>40381+(3*365)</f>
        <v>41476</v>
      </c>
      <c r="D186" s="18" t="s">
        <v>67</v>
      </c>
      <c r="E186" s="18" t="s">
        <v>75</v>
      </c>
      <c r="F186" s="21">
        <v>837</v>
      </c>
    </row>
    <row r="187" spans="2:6" x14ac:dyDescent="0.25">
      <c r="B187" s="27" t="s">
        <v>8</v>
      </c>
      <c r="C187" s="19">
        <f>39972+(3*365)</f>
        <v>41067</v>
      </c>
      <c r="D187" s="18" t="s">
        <v>77</v>
      </c>
      <c r="E187" s="18" t="s">
        <v>69</v>
      </c>
      <c r="F187" s="21">
        <v>840</v>
      </c>
    </row>
    <row r="188" spans="2:6" x14ac:dyDescent="0.25">
      <c r="B188" s="27" t="s">
        <v>21</v>
      </c>
      <c r="C188" s="19">
        <f>41004+(3*365)</f>
        <v>42099</v>
      </c>
      <c r="D188" s="18" t="s">
        <v>58</v>
      </c>
      <c r="E188" s="18" t="s">
        <v>69</v>
      </c>
      <c r="F188" s="21">
        <v>1088</v>
      </c>
    </row>
    <row r="189" spans="2:6" x14ac:dyDescent="0.25">
      <c r="B189" s="27" t="s">
        <v>25</v>
      </c>
      <c r="C189" s="19">
        <f>40994+(3*365)</f>
        <v>42089</v>
      </c>
      <c r="D189" s="18" t="s">
        <v>78</v>
      </c>
      <c r="E189" s="18" t="s">
        <v>61</v>
      </c>
      <c r="F189" s="21">
        <v>118</v>
      </c>
    </row>
    <row r="190" spans="2:6" x14ac:dyDescent="0.25">
      <c r="B190" s="27" t="s">
        <v>10</v>
      </c>
      <c r="C190" s="19">
        <f>41082+(3*365)</f>
        <v>42177</v>
      </c>
      <c r="D190" s="18" t="s">
        <v>67</v>
      </c>
      <c r="E190" s="18" t="s">
        <v>59</v>
      </c>
      <c r="F190" s="21">
        <v>174</v>
      </c>
    </row>
    <row r="191" spans="2:6" x14ac:dyDescent="0.25">
      <c r="B191" s="27" t="s">
        <v>9</v>
      </c>
      <c r="C191" s="19">
        <f>40288+(3*365)</f>
        <v>41383</v>
      </c>
      <c r="D191" s="18" t="s">
        <v>80</v>
      </c>
      <c r="E191" s="18" t="s">
        <v>59</v>
      </c>
      <c r="F191" s="21">
        <v>320</v>
      </c>
    </row>
    <row r="192" spans="2:6" x14ac:dyDescent="0.25">
      <c r="B192" s="27" t="s">
        <v>18</v>
      </c>
      <c r="C192" s="19">
        <f>40804+(3*365)</f>
        <v>41899</v>
      </c>
      <c r="D192" s="18" t="s">
        <v>68</v>
      </c>
      <c r="E192" s="18" t="s">
        <v>69</v>
      </c>
      <c r="F192" s="21">
        <v>588</v>
      </c>
    </row>
    <row r="193" spans="2:6" x14ac:dyDescent="0.25">
      <c r="B193" s="27" t="s">
        <v>9</v>
      </c>
      <c r="C193" s="19">
        <f>40254+(3*365)</f>
        <v>41349</v>
      </c>
      <c r="D193" s="18" t="s">
        <v>80</v>
      </c>
      <c r="E193" s="18" t="s">
        <v>64</v>
      </c>
      <c r="F193" s="21">
        <v>2608</v>
      </c>
    </row>
    <row r="194" spans="2:6" x14ac:dyDescent="0.25">
      <c r="B194" s="27" t="s">
        <v>21</v>
      </c>
      <c r="C194" s="19">
        <f>41019+(3*365)</f>
        <v>42114</v>
      </c>
      <c r="D194" s="18" t="s">
        <v>58</v>
      </c>
      <c r="E194" s="18" t="s">
        <v>64</v>
      </c>
      <c r="F194" s="21">
        <v>5632</v>
      </c>
    </row>
    <row r="195" spans="2:6" x14ac:dyDescent="0.25">
      <c r="B195" s="27" t="s">
        <v>10</v>
      </c>
      <c r="C195" s="19">
        <f>40039+(3*365)</f>
        <v>41134</v>
      </c>
      <c r="D195" s="18" t="s">
        <v>67</v>
      </c>
      <c r="E195" s="18" t="s">
        <v>59</v>
      </c>
      <c r="F195" s="21">
        <v>300</v>
      </c>
    </row>
    <row r="196" spans="2:6" x14ac:dyDescent="0.25">
      <c r="B196" s="27" t="s">
        <v>25</v>
      </c>
      <c r="C196" s="19">
        <f>41089+(3*365)</f>
        <v>42184</v>
      </c>
      <c r="D196" s="18" t="s">
        <v>79</v>
      </c>
      <c r="E196" s="18" t="s">
        <v>63</v>
      </c>
      <c r="F196" s="21">
        <v>500</v>
      </c>
    </row>
    <row r="197" spans="2:6" x14ac:dyDescent="0.25">
      <c r="B197" s="27" t="s">
        <v>25</v>
      </c>
      <c r="C197" s="19">
        <f>40596+(3*365)</f>
        <v>41691</v>
      </c>
      <c r="D197" s="18" t="s">
        <v>78</v>
      </c>
      <c r="E197" s="18" t="s">
        <v>64</v>
      </c>
      <c r="F197" s="21">
        <v>18784</v>
      </c>
    </row>
    <row r="198" spans="2:6" x14ac:dyDescent="0.25">
      <c r="B198" s="27" t="s">
        <v>31</v>
      </c>
      <c r="C198" s="19">
        <f>40286+(3*365)</f>
        <v>41381</v>
      </c>
      <c r="D198" s="18" t="s">
        <v>70</v>
      </c>
      <c r="E198" s="18" t="s">
        <v>75</v>
      </c>
      <c r="F198" s="21">
        <v>672</v>
      </c>
    </row>
    <row r="199" spans="2:6" x14ac:dyDescent="0.25">
      <c r="B199" s="27" t="s">
        <v>9</v>
      </c>
      <c r="C199" s="19">
        <f>40157+(3*365)</f>
        <v>41252</v>
      </c>
      <c r="D199" s="18" t="s">
        <v>80</v>
      </c>
      <c r="E199" s="18" t="s">
        <v>59</v>
      </c>
      <c r="F199" s="21">
        <v>408</v>
      </c>
    </row>
    <row r="200" spans="2:6" x14ac:dyDescent="0.25">
      <c r="B200" s="27" t="s">
        <v>18</v>
      </c>
      <c r="C200" s="19">
        <f>41089+(3*365)</f>
        <v>42184</v>
      </c>
      <c r="D200" s="18" t="s">
        <v>71</v>
      </c>
      <c r="E200" s="18" t="s">
        <v>59</v>
      </c>
      <c r="F200" s="21">
        <v>111</v>
      </c>
    </row>
    <row r="201" spans="2:6" x14ac:dyDescent="0.25">
      <c r="B201" s="27" t="s">
        <v>10</v>
      </c>
      <c r="C201" s="19">
        <f>40938+(3*365)</f>
        <v>42033</v>
      </c>
      <c r="D201" s="18" t="s">
        <v>67</v>
      </c>
      <c r="E201" s="18" t="s">
        <v>61</v>
      </c>
      <c r="F201" s="21">
        <v>1044</v>
      </c>
    </row>
    <row r="202" spans="2:6" x14ac:dyDescent="0.25">
      <c r="B202" s="27" t="s">
        <v>21</v>
      </c>
      <c r="C202" s="19">
        <f>40047+(3*365)</f>
        <v>41142</v>
      </c>
      <c r="D202" s="18" t="s">
        <v>58</v>
      </c>
      <c r="E202" s="18" t="s">
        <v>66</v>
      </c>
      <c r="F202" s="21">
        <v>280</v>
      </c>
    </row>
    <row r="203" spans="2:6" x14ac:dyDescent="0.25">
      <c r="B203" s="27" t="s">
        <v>18</v>
      </c>
      <c r="C203" s="19">
        <f>40935+(3*365)</f>
        <v>42030</v>
      </c>
      <c r="D203" s="18" t="s">
        <v>68</v>
      </c>
      <c r="E203" s="18" t="s">
        <v>61</v>
      </c>
      <c r="F203" s="21">
        <v>198</v>
      </c>
    </row>
    <row r="204" spans="2:6" x14ac:dyDescent="0.25">
      <c r="B204" s="27" t="s">
        <v>10</v>
      </c>
      <c r="C204" s="19">
        <f>41150+(3*365)</f>
        <v>42245</v>
      </c>
      <c r="D204" s="18" t="s">
        <v>65</v>
      </c>
      <c r="E204" s="18" t="s">
        <v>63</v>
      </c>
      <c r="F204" s="21">
        <v>516</v>
      </c>
    </row>
    <row r="205" spans="2:6" x14ac:dyDescent="0.25">
      <c r="B205" s="27" t="s">
        <v>31</v>
      </c>
      <c r="C205" s="19">
        <f>41226+(3*365)</f>
        <v>42321</v>
      </c>
      <c r="D205" s="18" t="s">
        <v>70</v>
      </c>
      <c r="E205" s="18" t="s">
        <v>64</v>
      </c>
      <c r="F205" s="21">
        <v>8232</v>
      </c>
    </row>
    <row r="206" spans="2:6" x14ac:dyDescent="0.25">
      <c r="B206" s="27" t="s">
        <v>10</v>
      </c>
      <c r="C206" s="19">
        <f>41079+(3*365)</f>
        <v>42174</v>
      </c>
      <c r="D206" s="18" t="s">
        <v>65</v>
      </c>
      <c r="E206" s="18" t="s">
        <v>64</v>
      </c>
      <c r="F206" s="21">
        <v>7470</v>
      </c>
    </row>
    <row r="207" spans="2:6" x14ac:dyDescent="0.25">
      <c r="B207" s="27" t="s">
        <v>11</v>
      </c>
      <c r="C207" s="19">
        <f>40486+(3*365)</f>
        <v>41581</v>
      </c>
      <c r="D207" s="18" t="s">
        <v>60</v>
      </c>
      <c r="E207" s="18" t="s">
        <v>66</v>
      </c>
      <c r="F207" s="21">
        <v>1944</v>
      </c>
    </row>
    <row r="208" spans="2:6" x14ac:dyDescent="0.25">
      <c r="B208" s="27" t="s">
        <v>8</v>
      </c>
      <c r="C208" s="19">
        <f>40945+(3*365)</f>
        <v>42040</v>
      </c>
      <c r="D208" s="18" t="s">
        <v>77</v>
      </c>
      <c r="E208" s="18" t="s">
        <v>59</v>
      </c>
      <c r="F208" s="21">
        <v>828</v>
      </c>
    </row>
    <row r="209" spans="2:6" x14ac:dyDescent="0.25">
      <c r="B209" s="27" t="s">
        <v>10</v>
      </c>
      <c r="C209" s="19">
        <f>39814+(3*365)</f>
        <v>40909</v>
      </c>
      <c r="D209" s="18" t="s">
        <v>65</v>
      </c>
      <c r="E209" s="18" t="s">
        <v>64</v>
      </c>
      <c r="F209" s="21">
        <v>17568</v>
      </c>
    </row>
    <row r="210" spans="2:6" x14ac:dyDescent="0.25">
      <c r="B210" s="27" t="s">
        <v>21</v>
      </c>
      <c r="C210" s="19">
        <f>39843+(3*365)</f>
        <v>40938</v>
      </c>
      <c r="D210" s="18" t="s">
        <v>73</v>
      </c>
      <c r="E210" s="18" t="s">
        <v>63</v>
      </c>
      <c r="F210" s="21">
        <v>259</v>
      </c>
    </row>
    <row r="211" spans="2:6" x14ac:dyDescent="0.25">
      <c r="B211" s="27" t="s">
        <v>18</v>
      </c>
      <c r="C211" s="19">
        <f>40874+(3*365)</f>
        <v>41969</v>
      </c>
      <c r="D211" s="18" t="s">
        <v>68</v>
      </c>
      <c r="E211" s="18" t="s">
        <v>69</v>
      </c>
      <c r="F211" s="21">
        <v>1260</v>
      </c>
    </row>
    <row r="212" spans="2:6" x14ac:dyDescent="0.25">
      <c r="B212" s="27" t="s">
        <v>11</v>
      </c>
      <c r="C212" s="19">
        <f>40881+(3*365)</f>
        <v>41976</v>
      </c>
      <c r="D212" s="18" t="s">
        <v>74</v>
      </c>
      <c r="E212" s="18" t="s">
        <v>72</v>
      </c>
      <c r="F212" s="21">
        <v>612</v>
      </c>
    </row>
    <row r="213" spans="2:6" x14ac:dyDescent="0.25">
      <c r="B213" s="27" t="s">
        <v>31</v>
      </c>
      <c r="C213" s="19">
        <f>40231+(3*365)</f>
        <v>41326</v>
      </c>
      <c r="D213" s="18" t="s">
        <v>70</v>
      </c>
      <c r="E213" s="18" t="s">
        <v>61</v>
      </c>
      <c r="F213" s="21">
        <v>792</v>
      </c>
    </row>
    <row r="214" spans="2:6" x14ac:dyDescent="0.25">
      <c r="B214" s="27" t="s">
        <v>31</v>
      </c>
      <c r="C214" s="19">
        <f>40007+(3*365)</f>
        <v>41102</v>
      </c>
      <c r="D214" s="18" t="s">
        <v>70</v>
      </c>
      <c r="E214" s="18" t="s">
        <v>66</v>
      </c>
      <c r="F214" s="21">
        <v>1344</v>
      </c>
    </row>
    <row r="215" spans="2:6" x14ac:dyDescent="0.25">
      <c r="B215" s="27" t="s">
        <v>31</v>
      </c>
      <c r="C215" s="19">
        <f>40450+(3*365)</f>
        <v>41545</v>
      </c>
      <c r="D215" s="18" t="s">
        <v>76</v>
      </c>
      <c r="E215" s="18" t="s">
        <v>63</v>
      </c>
      <c r="F215" s="21">
        <v>375</v>
      </c>
    </row>
    <row r="216" spans="2:6" x14ac:dyDescent="0.25">
      <c r="B216" s="27" t="s">
        <v>8</v>
      </c>
      <c r="C216" s="19">
        <f>40678+(3*365)</f>
        <v>41773</v>
      </c>
      <c r="D216" s="18" t="s">
        <v>77</v>
      </c>
      <c r="E216" s="18" t="s">
        <v>75</v>
      </c>
      <c r="F216" s="21">
        <v>352</v>
      </c>
    </row>
    <row r="217" spans="2:6" x14ac:dyDescent="0.25">
      <c r="B217" s="27" t="s">
        <v>10</v>
      </c>
      <c r="C217" s="19">
        <f>40409+(3*365)</f>
        <v>41504</v>
      </c>
      <c r="D217" s="18" t="s">
        <v>67</v>
      </c>
      <c r="E217" s="18" t="s">
        <v>66</v>
      </c>
      <c r="F217" s="21">
        <v>2214</v>
      </c>
    </row>
    <row r="218" spans="2:6" x14ac:dyDescent="0.25">
      <c r="B218" s="27" t="s">
        <v>18</v>
      </c>
      <c r="C218" s="19">
        <f>40676+(3*365)</f>
        <v>41771</v>
      </c>
      <c r="D218" s="18" t="s">
        <v>68</v>
      </c>
      <c r="E218" s="18" t="s">
        <v>59</v>
      </c>
      <c r="F218" s="21">
        <v>612</v>
      </c>
    </row>
    <row r="219" spans="2:6" x14ac:dyDescent="0.25">
      <c r="B219" s="27" t="s">
        <v>25</v>
      </c>
      <c r="C219" s="19">
        <f>41048+(3*365)</f>
        <v>42143</v>
      </c>
      <c r="D219" s="18" t="s">
        <v>78</v>
      </c>
      <c r="E219" s="18" t="s">
        <v>69</v>
      </c>
      <c r="F219" s="21">
        <v>346</v>
      </c>
    </row>
    <row r="220" spans="2:6" x14ac:dyDescent="0.25">
      <c r="B220" s="27" t="s">
        <v>21</v>
      </c>
      <c r="C220" s="19">
        <f>40567+(3*365)</f>
        <v>41662</v>
      </c>
      <c r="D220" s="18" t="s">
        <v>73</v>
      </c>
      <c r="E220" s="18" t="s">
        <v>69</v>
      </c>
      <c r="F220" s="21">
        <v>963</v>
      </c>
    </row>
    <row r="221" spans="2:6" x14ac:dyDescent="0.25">
      <c r="B221" s="27" t="s">
        <v>18</v>
      </c>
      <c r="C221" s="19">
        <f>40861+(3*365)</f>
        <v>41956</v>
      </c>
      <c r="D221" s="18" t="s">
        <v>71</v>
      </c>
      <c r="E221" s="18" t="s">
        <v>61</v>
      </c>
      <c r="F221" s="21">
        <v>1876</v>
      </c>
    </row>
    <row r="222" spans="2:6" x14ac:dyDescent="0.25">
      <c r="B222" s="27" t="s">
        <v>9</v>
      </c>
      <c r="C222" s="19">
        <f>40701+(3*365)</f>
        <v>41796</v>
      </c>
      <c r="D222" s="18" t="s">
        <v>80</v>
      </c>
      <c r="E222" s="18" t="s">
        <v>64</v>
      </c>
      <c r="F222" s="21">
        <v>1986</v>
      </c>
    </row>
    <row r="223" spans="2:6" x14ac:dyDescent="0.25">
      <c r="B223" s="27" t="s">
        <v>31</v>
      </c>
      <c r="C223" s="19">
        <f>40267+(3*365)</f>
        <v>41362</v>
      </c>
      <c r="D223" s="18" t="s">
        <v>70</v>
      </c>
      <c r="E223" s="18" t="s">
        <v>64</v>
      </c>
      <c r="F223" s="21">
        <v>15255</v>
      </c>
    </row>
    <row r="224" spans="2:6" x14ac:dyDescent="0.25">
      <c r="B224" s="27" t="s">
        <v>8</v>
      </c>
      <c r="C224" s="19">
        <f>39945+(3*365)</f>
        <v>41040</v>
      </c>
      <c r="D224" s="18" t="s">
        <v>81</v>
      </c>
      <c r="E224" s="18" t="s">
        <v>75</v>
      </c>
      <c r="F224" s="21">
        <v>696</v>
      </c>
    </row>
    <row r="225" spans="2:6" x14ac:dyDescent="0.25">
      <c r="B225" s="27" t="s">
        <v>31</v>
      </c>
      <c r="C225" s="19">
        <f>40320+(3*365)</f>
        <v>41415</v>
      </c>
      <c r="D225" s="18" t="s">
        <v>70</v>
      </c>
      <c r="E225" s="18" t="s">
        <v>64</v>
      </c>
      <c r="F225" s="21">
        <v>13512</v>
      </c>
    </row>
    <row r="226" spans="2:6" x14ac:dyDescent="0.25">
      <c r="B226" s="27" t="s">
        <v>9</v>
      </c>
      <c r="C226" s="19">
        <f>41082+(3*365)</f>
        <v>42177</v>
      </c>
      <c r="D226" s="18" t="s">
        <v>80</v>
      </c>
      <c r="E226" s="18" t="s">
        <v>72</v>
      </c>
      <c r="F226" s="21">
        <v>220</v>
      </c>
    </row>
    <row r="227" spans="2:6" x14ac:dyDescent="0.25">
      <c r="B227" s="27" t="s">
        <v>10</v>
      </c>
      <c r="C227" s="19">
        <f>40389+(3*365)</f>
        <v>41484</v>
      </c>
      <c r="D227" s="18" t="s">
        <v>65</v>
      </c>
      <c r="E227" s="18" t="s">
        <v>75</v>
      </c>
      <c r="F227" s="21">
        <v>261</v>
      </c>
    </row>
    <row r="228" spans="2:6" x14ac:dyDescent="0.25">
      <c r="B228" s="27" t="s">
        <v>18</v>
      </c>
      <c r="C228" s="19">
        <f>40169+(3*365)</f>
        <v>41264</v>
      </c>
      <c r="D228" s="18" t="s">
        <v>71</v>
      </c>
      <c r="E228" s="18" t="s">
        <v>66</v>
      </c>
      <c r="F228" s="21">
        <v>1530</v>
      </c>
    </row>
    <row r="229" spans="2:6" x14ac:dyDescent="0.25">
      <c r="B229" s="27" t="s">
        <v>9</v>
      </c>
      <c r="C229" s="19">
        <f>39949+(3*365)</f>
        <v>41044</v>
      </c>
      <c r="D229" s="18" t="s">
        <v>80</v>
      </c>
      <c r="E229" s="18" t="s">
        <v>59</v>
      </c>
      <c r="F229" s="21">
        <v>486</v>
      </c>
    </row>
    <row r="230" spans="2:6" x14ac:dyDescent="0.25">
      <c r="B230" s="27" t="s">
        <v>31</v>
      </c>
      <c r="C230" s="19">
        <f>40452+(3*365)</f>
        <v>41547</v>
      </c>
      <c r="D230" s="18" t="s">
        <v>76</v>
      </c>
      <c r="E230" s="18" t="s">
        <v>72</v>
      </c>
      <c r="F230" s="21">
        <v>2304</v>
      </c>
    </row>
    <row r="231" spans="2:6" x14ac:dyDescent="0.25">
      <c r="B231" s="27" t="s">
        <v>18</v>
      </c>
      <c r="C231" s="19">
        <f>40872+(3*365)</f>
        <v>41967</v>
      </c>
      <c r="D231" s="18" t="s">
        <v>71</v>
      </c>
      <c r="E231" s="18" t="s">
        <v>61</v>
      </c>
      <c r="F231" s="21">
        <v>1888</v>
      </c>
    </row>
    <row r="232" spans="2:6" x14ac:dyDescent="0.25">
      <c r="B232" s="27" t="s">
        <v>25</v>
      </c>
      <c r="C232" s="19">
        <f>40221+(3*365)</f>
        <v>41316</v>
      </c>
      <c r="D232" s="18" t="s">
        <v>78</v>
      </c>
      <c r="E232" s="18" t="s">
        <v>59</v>
      </c>
      <c r="F232" s="21">
        <v>528</v>
      </c>
    </row>
    <row r="233" spans="2:6" x14ac:dyDescent="0.25">
      <c r="B233" s="27" t="s">
        <v>10</v>
      </c>
      <c r="C233" s="19">
        <f>40288+(3*365)</f>
        <v>41383</v>
      </c>
      <c r="D233" s="18" t="s">
        <v>65</v>
      </c>
      <c r="E233" s="18" t="s">
        <v>75</v>
      </c>
      <c r="F233" s="21">
        <v>432</v>
      </c>
    </row>
    <row r="234" spans="2:6" x14ac:dyDescent="0.25">
      <c r="B234" s="27" t="s">
        <v>18</v>
      </c>
      <c r="C234" s="19">
        <f>40563+(3*365)</f>
        <v>41658</v>
      </c>
      <c r="D234" s="18" t="s">
        <v>71</v>
      </c>
      <c r="E234" s="18" t="s">
        <v>64</v>
      </c>
      <c r="F234" s="21">
        <v>8340</v>
      </c>
    </row>
    <row r="235" spans="2:6" x14ac:dyDescent="0.25">
      <c r="B235" s="27" t="s">
        <v>9</v>
      </c>
      <c r="C235" s="19">
        <f>40517+(3*365)</f>
        <v>41612</v>
      </c>
      <c r="D235" s="18" t="s">
        <v>62</v>
      </c>
      <c r="E235" s="18" t="s">
        <v>59</v>
      </c>
      <c r="F235" s="21">
        <v>558</v>
      </c>
    </row>
    <row r="236" spans="2:6" x14ac:dyDescent="0.25">
      <c r="B236" s="27" t="s">
        <v>18</v>
      </c>
      <c r="C236" s="19">
        <f>40782+(3*365)</f>
        <v>41877</v>
      </c>
      <c r="D236" s="18" t="s">
        <v>68</v>
      </c>
      <c r="E236" s="18" t="s">
        <v>63</v>
      </c>
      <c r="F236" s="21">
        <v>2016</v>
      </c>
    </row>
    <row r="237" spans="2:6" x14ac:dyDescent="0.25">
      <c r="B237" s="27" t="s">
        <v>11</v>
      </c>
      <c r="C237" s="19">
        <f>39909+(3*365)</f>
        <v>41004</v>
      </c>
      <c r="D237" s="18" t="s">
        <v>74</v>
      </c>
      <c r="E237" s="18" t="s">
        <v>61</v>
      </c>
      <c r="F237" s="21">
        <v>780</v>
      </c>
    </row>
    <row r="238" spans="2:6" x14ac:dyDescent="0.25">
      <c r="B238" s="27" t="s">
        <v>18</v>
      </c>
      <c r="C238" s="19">
        <f>40124+(3*365)</f>
        <v>41219</v>
      </c>
      <c r="D238" s="18" t="s">
        <v>71</v>
      </c>
      <c r="E238" s="18" t="s">
        <v>63</v>
      </c>
      <c r="F238" s="21">
        <v>720</v>
      </c>
    </row>
    <row r="239" spans="2:6" x14ac:dyDescent="0.25">
      <c r="B239" s="27" t="s">
        <v>31</v>
      </c>
      <c r="C239" s="19">
        <f>39996+(3*365)</f>
        <v>41091</v>
      </c>
      <c r="D239" s="18" t="s">
        <v>76</v>
      </c>
      <c r="E239" s="18" t="s">
        <v>66</v>
      </c>
      <c r="F239" s="21">
        <v>252</v>
      </c>
    </row>
    <row r="240" spans="2:6" x14ac:dyDescent="0.25">
      <c r="B240" s="27" t="s">
        <v>11</v>
      </c>
      <c r="C240" s="19">
        <f>39920+(3*365)</f>
        <v>41015</v>
      </c>
      <c r="D240" s="18" t="s">
        <v>74</v>
      </c>
      <c r="E240" s="18" t="s">
        <v>66</v>
      </c>
      <c r="F240" s="21">
        <v>1752</v>
      </c>
    </row>
    <row r="241" spans="2:6" x14ac:dyDescent="0.25">
      <c r="B241" s="27" t="s">
        <v>18</v>
      </c>
      <c r="C241" s="19">
        <f>40963+(3*365)</f>
        <v>42058</v>
      </c>
      <c r="D241" s="18" t="s">
        <v>71</v>
      </c>
      <c r="E241" s="18" t="s">
        <v>75</v>
      </c>
      <c r="F241" s="21">
        <v>216</v>
      </c>
    </row>
    <row r="242" spans="2:6" x14ac:dyDescent="0.25">
      <c r="B242" s="27" t="s">
        <v>31</v>
      </c>
      <c r="C242" s="19">
        <f>40311+(3*365)</f>
        <v>41406</v>
      </c>
      <c r="D242" s="18" t="s">
        <v>76</v>
      </c>
      <c r="E242" s="18" t="s">
        <v>66</v>
      </c>
      <c r="F242" s="21">
        <v>1344</v>
      </c>
    </row>
    <row r="243" spans="2:6" x14ac:dyDescent="0.25">
      <c r="B243" s="27" t="s">
        <v>25</v>
      </c>
      <c r="C243" s="19">
        <f>40211+(3*365)</f>
        <v>41306</v>
      </c>
      <c r="D243" s="18" t="s">
        <v>78</v>
      </c>
      <c r="E243" s="18" t="s">
        <v>66</v>
      </c>
      <c r="F243" s="21">
        <v>2268</v>
      </c>
    </row>
    <row r="244" spans="2:6" x14ac:dyDescent="0.25">
      <c r="B244" s="27" t="s">
        <v>18</v>
      </c>
      <c r="C244" s="19">
        <f>40919+(3*365)</f>
        <v>42014</v>
      </c>
      <c r="D244" s="18" t="s">
        <v>71</v>
      </c>
      <c r="E244" s="18" t="s">
        <v>75</v>
      </c>
      <c r="F244" s="21">
        <v>207</v>
      </c>
    </row>
    <row r="245" spans="2:6" x14ac:dyDescent="0.25">
      <c r="B245" s="27" t="s">
        <v>9</v>
      </c>
      <c r="C245" s="19">
        <f>39959+(3*365)</f>
        <v>41054</v>
      </c>
      <c r="D245" s="18" t="s">
        <v>80</v>
      </c>
      <c r="E245" s="18" t="s">
        <v>69</v>
      </c>
      <c r="F245" s="21">
        <v>2424</v>
      </c>
    </row>
    <row r="246" spans="2:6" x14ac:dyDescent="0.25">
      <c r="B246" s="27" t="s">
        <v>31</v>
      </c>
      <c r="C246" s="19">
        <f>40907+(3*365)</f>
        <v>42002</v>
      </c>
      <c r="D246" s="18" t="s">
        <v>70</v>
      </c>
      <c r="E246" s="18" t="s">
        <v>61</v>
      </c>
      <c r="F246" s="21">
        <v>156</v>
      </c>
    </row>
    <row r="247" spans="2:6" x14ac:dyDescent="0.25">
      <c r="B247" s="27" t="s">
        <v>8</v>
      </c>
      <c r="C247" s="19">
        <f>40227+(3*365)</f>
        <v>41322</v>
      </c>
      <c r="D247" s="18" t="s">
        <v>81</v>
      </c>
      <c r="E247" s="18" t="s">
        <v>69</v>
      </c>
      <c r="F247" s="21">
        <v>3220</v>
      </c>
    </row>
    <row r="248" spans="2:6" x14ac:dyDescent="0.25">
      <c r="B248" s="27" t="s">
        <v>9</v>
      </c>
      <c r="C248" s="19">
        <f>40282+(3*365)</f>
        <v>41377</v>
      </c>
      <c r="D248" s="18" t="s">
        <v>62</v>
      </c>
      <c r="E248" s="18" t="s">
        <v>66</v>
      </c>
      <c r="F248" s="21">
        <v>420</v>
      </c>
    </row>
    <row r="249" spans="2:6" x14ac:dyDescent="0.25">
      <c r="B249" s="27" t="s">
        <v>18</v>
      </c>
      <c r="C249" s="19">
        <f>41187+(3*365)</f>
        <v>42282</v>
      </c>
      <c r="D249" s="18" t="s">
        <v>71</v>
      </c>
      <c r="E249" s="18" t="s">
        <v>63</v>
      </c>
      <c r="F249" s="21">
        <v>390</v>
      </c>
    </row>
    <row r="250" spans="2:6" x14ac:dyDescent="0.25">
      <c r="B250" s="27" t="s">
        <v>11</v>
      </c>
      <c r="C250" s="19">
        <f>40929+(3*365)</f>
        <v>42024</v>
      </c>
      <c r="D250" s="18" t="s">
        <v>60</v>
      </c>
      <c r="E250" s="18" t="s">
        <v>72</v>
      </c>
      <c r="F250" s="21">
        <v>972</v>
      </c>
    </row>
    <row r="251" spans="2:6" x14ac:dyDescent="0.25">
      <c r="B251" s="27" t="s">
        <v>31</v>
      </c>
      <c r="C251" s="19">
        <f>40356+(3*365)</f>
        <v>41451</v>
      </c>
      <c r="D251" s="18" t="s">
        <v>76</v>
      </c>
      <c r="E251" s="18" t="s">
        <v>69</v>
      </c>
      <c r="F251" s="21">
        <v>1440</v>
      </c>
    </row>
    <row r="252" spans="2:6" x14ac:dyDescent="0.25">
      <c r="B252" s="27" t="s">
        <v>21</v>
      </c>
      <c r="C252" s="19">
        <f>40336+(3*365)</f>
        <v>41431</v>
      </c>
      <c r="D252" s="18" t="s">
        <v>73</v>
      </c>
      <c r="E252" s="18" t="s">
        <v>75</v>
      </c>
      <c r="F252" s="21">
        <v>528</v>
      </c>
    </row>
    <row r="253" spans="2:6" x14ac:dyDescent="0.25">
      <c r="B253" s="27" t="s">
        <v>11</v>
      </c>
      <c r="C253" s="19">
        <f>40072+(3*365)</f>
        <v>41167</v>
      </c>
      <c r="D253" s="18" t="s">
        <v>74</v>
      </c>
      <c r="E253" s="18" t="s">
        <v>66</v>
      </c>
      <c r="F253" s="21">
        <v>750</v>
      </c>
    </row>
    <row r="254" spans="2:6" x14ac:dyDescent="0.25">
      <c r="B254" s="27" t="s">
        <v>21</v>
      </c>
      <c r="C254" s="19">
        <f>40393+(3*365)</f>
        <v>41488</v>
      </c>
      <c r="D254" s="18" t="s">
        <v>58</v>
      </c>
      <c r="E254" s="18" t="s">
        <v>59</v>
      </c>
      <c r="F254" s="21">
        <v>156</v>
      </c>
    </row>
    <row r="255" spans="2:6" x14ac:dyDescent="0.25">
      <c r="B255" s="27" t="s">
        <v>31</v>
      </c>
      <c r="C255" s="19">
        <f>40120+(3*365)</f>
        <v>41215</v>
      </c>
      <c r="D255" s="18" t="s">
        <v>70</v>
      </c>
      <c r="E255" s="18" t="s">
        <v>66</v>
      </c>
      <c r="F255" s="21">
        <v>378</v>
      </c>
    </row>
    <row r="256" spans="2:6" x14ac:dyDescent="0.25">
      <c r="B256" s="27" t="s">
        <v>21</v>
      </c>
      <c r="C256" s="19">
        <f>40494+(3*365)</f>
        <v>41589</v>
      </c>
      <c r="D256" s="18" t="s">
        <v>58</v>
      </c>
      <c r="E256" s="18" t="s">
        <v>69</v>
      </c>
      <c r="F256" s="21">
        <v>2610</v>
      </c>
    </row>
    <row r="257" spans="2:6" x14ac:dyDescent="0.25">
      <c r="B257" s="27" t="s">
        <v>31</v>
      </c>
      <c r="C257" s="19">
        <f>40265+(3*365)</f>
        <v>41360</v>
      </c>
      <c r="D257" s="18" t="s">
        <v>70</v>
      </c>
      <c r="E257" s="18" t="s">
        <v>64</v>
      </c>
      <c r="F257" s="21">
        <v>7200</v>
      </c>
    </row>
    <row r="258" spans="2:6" x14ac:dyDescent="0.25">
      <c r="B258" s="27" t="s">
        <v>25</v>
      </c>
      <c r="C258" s="19">
        <f>40818+(3*365)</f>
        <v>41913</v>
      </c>
      <c r="D258" s="18" t="s">
        <v>78</v>
      </c>
      <c r="E258" s="18" t="s">
        <v>59</v>
      </c>
      <c r="F258" s="21">
        <v>348</v>
      </c>
    </row>
    <row r="259" spans="2:6" x14ac:dyDescent="0.25">
      <c r="B259" s="27" t="s">
        <v>10</v>
      </c>
      <c r="C259" s="19">
        <f>40664+(3*365)</f>
        <v>41759</v>
      </c>
      <c r="D259" s="18" t="s">
        <v>65</v>
      </c>
      <c r="E259" s="18" t="s">
        <v>75</v>
      </c>
      <c r="F259" s="21">
        <v>154</v>
      </c>
    </row>
    <row r="260" spans="2:6" x14ac:dyDescent="0.25">
      <c r="B260" s="27" t="s">
        <v>11</v>
      </c>
      <c r="C260" s="19">
        <f>40314+(3*365)</f>
        <v>41409</v>
      </c>
      <c r="D260" s="18" t="s">
        <v>60</v>
      </c>
      <c r="E260" s="18" t="s">
        <v>66</v>
      </c>
      <c r="F260" s="21">
        <v>711</v>
      </c>
    </row>
    <row r="261" spans="2:6" x14ac:dyDescent="0.25">
      <c r="B261" s="27" t="s">
        <v>31</v>
      </c>
      <c r="C261" s="19">
        <f>40610+(3*365)</f>
        <v>41705</v>
      </c>
      <c r="D261" s="18" t="s">
        <v>76</v>
      </c>
      <c r="E261" s="18" t="s">
        <v>63</v>
      </c>
      <c r="F261" s="21">
        <v>1035</v>
      </c>
    </row>
    <row r="262" spans="2:6" x14ac:dyDescent="0.25">
      <c r="B262" s="27" t="s">
        <v>10</v>
      </c>
      <c r="C262" s="19">
        <f>41055+(3*365)</f>
        <v>42150</v>
      </c>
      <c r="D262" s="18" t="s">
        <v>65</v>
      </c>
      <c r="E262" s="18" t="s">
        <v>72</v>
      </c>
      <c r="F262" s="21">
        <v>135</v>
      </c>
    </row>
    <row r="263" spans="2:6" x14ac:dyDescent="0.25">
      <c r="B263" s="27" t="s">
        <v>21</v>
      </c>
      <c r="C263" s="19">
        <f>41147+(3*365)</f>
        <v>42242</v>
      </c>
      <c r="D263" s="18" t="s">
        <v>73</v>
      </c>
      <c r="E263" s="18" t="s">
        <v>69</v>
      </c>
      <c r="F263" s="21">
        <v>1020</v>
      </c>
    </row>
    <row r="264" spans="2:6" x14ac:dyDescent="0.25">
      <c r="B264" s="27" t="s">
        <v>11</v>
      </c>
      <c r="C264" s="19">
        <f>40453+(3*365)</f>
        <v>41548</v>
      </c>
      <c r="D264" s="18" t="s">
        <v>74</v>
      </c>
      <c r="E264" s="18" t="s">
        <v>75</v>
      </c>
      <c r="F264" s="21">
        <v>297</v>
      </c>
    </row>
    <row r="265" spans="2:6" x14ac:dyDescent="0.25">
      <c r="B265" s="27" t="s">
        <v>10</v>
      </c>
      <c r="C265" s="19">
        <f>39841+(3*365)</f>
        <v>40936</v>
      </c>
      <c r="D265" s="18" t="s">
        <v>67</v>
      </c>
      <c r="E265" s="18" t="s">
        <v>69</v>
      </c>
      <c r="F265" s="21">
        <v>392</v>
      </c>
    </row>
    <row r="266" spans="2:6" x14ac:dyDescent="0.25">
      <c r="B266" s="27" t="s">
        <v>8</v>
      </c>
      <c r="C266" s="19">
        <f>40730+(3*365)</f>
        <v>41825</v>
      </c>
      <c r="D266" s="18" t="s">
        <v>77</v>
      </c>
      <c r="E266" s="18" t="s">
        <v>69</v>
      </c>
      <c r="F266" s="21">
        <v>3640</v>
      </c>
    </row>
    <row r="267" spans="2:6" x14ac:dyDescent="0.25">
      <c r="B267" s="27" t="s">
        <v>10</v>
      </c>
      <c r="C267" s="19">
        <f>40465+(3*365)</f>
        <v>41560</v>
      </c>
      <c r="D267" s="18" t="s">
        <v>65</v>
      </c>
      <c r="E267" s="18" t="s">
        <v>64</v>
      </c>
      <c r="F267" s="21">
        <v>19521</v>
      </c>
    </row>
    <row r="268" spans="2:6" x14ac:dyDescent="0.25">
      <c r="B268" s="27" t="s">
        <v>25</v>
      </c>
      <c r="C268" s="19">
        <f>39971+(3*365)</f>
        <v>41066</v>
      </c>
      <c r="D268" s="18" t="s">
        <v>78</v>
      </c>
      <c r="E268" s="18" t="s">
        <v>61</v>
      </c>
      <c r="F268" s="21">
        <v>420</v>
      </c>
    </row>
    <row r="269" spans="2:6" x14ac:dyDescent="0.25">
      <c r="B269" s="27" t="s">
        <v>8</v>
      </c>
      <c r="C269" s="19">
        <f>41006+(3*365)</f>
        <v>42101</v>
      </c>
      <c r="D269" s="18" t="s">
        <v>77</v>
      </c>
      <c r="E269" s="18" t="s">
        <v>59</v>
      </c>
      <c r="F269" s="21">
        <v>864</v>
      </c>
    </row>
    <row r="270" spans="2:6" x14ac:dyDescent="0.25">
      <c r="B270" s="27" t="s">
        <v>9</v>
      </c>
      <c r="C270" s="19">
        <f>39868+(3*365)</f>
        <v>40963</v>
      </c>
      <c r="D270" s="18" t="s">
        <v>80</v>
      </c>
      <c r="E270" s="18" t="s">
        <v>59</v>
      </c>
      <c r="F270" s="21">
        <v>340</v>
      </c>
    </row>
    <row r="271" spans="2:6" x14ac:dyDescent="0.25">
      <c r="B271" s="27" t="s">
        <v>11</v>
      </c>
      <c r="C271" s="19">
        <f>40180+(3*365)</f>
        <v>41275</v>
      </c>
      <c r="D271" s="18" t="s">
        <v>74</v>
      </c>
      <c r="E271" s="18" t="s">
        <v>69</v>
      </c>
      <c r="F271" s="21">
        <v>1224</v>
      </c>
    </row>
    <row r="272" spans="2:6" x14ac:dyDescent="0.25">
      <c r="B272" s="27" t="s">
        <v>25</v>
      </c>
      <c r="C272" s="19">
        <f>40430+(3*365)</f>
        <v>41525</v>
      </c>
      <c r="D272" s="18" t="s">
        <v>79</v>
      </c>
      <c r="E272" s="18" t="s">
        <v>66</v>
      </c>
      <c r="F272" s="21">
        <v>216</v>
      </c>
    </row>
    <row r="273" spans="2:6" x14ac:dyDescent="0.25">
      <c r="B273" s="27" t="s">
        <v>18</v>
      </c>
      <c r="C273" s="19">
        <f>41185+(3*365)</f>
        <v>42280</v>
      </c>
      <c r="D273" s="18" t="s">
        <v>68</v>
      </c>
      <c r="E273" s="18" t="s">
        <v>63</v>
      </c>
      <c r="F273" s="21">
        <v>1071</v>
      </c>
    </row>
    <row r="274" spans="2:6" x14ac:dyDescent="0.25">
      <c r="B274" s="27" t="s">
        <v>10</v>
      </c>
      <c r="C274" s="19">
        <f>40982+(3*365)</f>
        <v>42077</v>
      </c>
      <c r="D274" s="18" t="s">
        <v>67</v>
      </c>
      <c r="E274" s="18" t="s">
        <v>66</v>
      </c>
      <c r="F274" s="21">
        <v>270</v>
      </c>
    </row>
    <row r="275" spans="2:6" x14ac:dyDescent="0.25">
      <c r="B275" s="27" t="s">
        <v>9</v>
      </c>
      <c r="C275" s="19">
        <f>41046+(3*365)</f>
        <v>42141</v>
      </c>
      <c r="D275" s="18" t="s">
        <v>62</v>
      </c>
      <c r="E275" s="18" t="s">
        <v>59</v>
      </c>
      <c r="F275" s="21">
        <v>98</v>
      </c>
    </row>
    <row r="276" spans="2:6" x14ac:dyDescent="0.25">
      <c r="B276" s="27" t="s">
        <v>10</v>
      </c>
      <c r="C276" s="19">
        <f>40477+(3*365)</f>
        <v>41572</v>
      </c>
      <c r="D276" s="18" t="s">
        <v>65</v>
      </c>
      <c r="E276" s="18" t="s">
        <v>75</v>
      </c>
      <c r="F276" s="21">
        <v>252</v>
      </c>
    </row>
    <row r="277" spans="2:6" x14ac:dyDescent="0.25">
      <c r="B277" s="27" t="s">
        <v>8</v>
      </c>
      <c r="C277" s="19">
        <f>41019+(3*365)</f>
        <v>42114</v>
      </c>
      <c r="D277" s="18" t="s">
        <v>81</v>
      </c>
      <c r="E277" s="18" t="s">
        <v>69</v>
      </c>
      <c r="F277" s="21">
        <v>324</v>
      </c>
    </row>
    <row r="278" spans="2:6" x14ac:dyDescent="0.25">
      <c r="B278" s="27" t="s">
        <v>31</v>
      </c>
      <c r="C278" s="19">
        <f>40467+(3*365)</f>
        <v>41562</v>
      </c>
      <c r="D278" s="18" t="s">
        <v>70</v>
      </c>
      <c r="E278" s="18" t="s">
        <v>63</v>
      </c>
      <c r="F278" s="21">
        <v>144</v>
      </c>
    </row>
    <row r="279" spans="2:6" x14ac:dyDescent="0.25">
      <c r="B279" s="27" t="s">
        <v>9</v>
      </c>
      <c r="C279" s="19">
        <f>41031+(3*365)</f>
        <v>42126</v>
      </c>
      <c r="D279" s="18" t="s">
        <v>62</v>
      </c>
      <c r="E279" s="18" t="s">
        <v>61</v>
      </c>
      <c r="F279" s="21">
        <v>336</v>
      </c>
    </row>
    <row r="280" spans="2:6" x14ac:dyDescent="0.25">
      <c r="B280" s="27" t="s">
        <v>21</v>
      </c>
      <c r="C280" s="19">
        <f>40018+(3*365)</f>
        <v>41113</v>
      </c>
      <c r="D280" s="18" t="s">
        <v>58</v>
      </c>
      <c r="E280" s="18" t="s">
        <v>72</v>
      </c>
      <c r="F280" s="21">
        <v>1616</v>
      </c>
    </row>
    <row r="281" spans="2:6" x14ac:dyDescent="0.25">
      <c r="B281" s="27" t="s">
        <v>10</v>
      </c>
      <c r="C281" s="19">
        <f>41107+(3*365)</f>
        <v>42202</v>
      </c>
      <c r="D281" s="18" t="s">
        <v>65</v>
      </c>
      <c r="E281" s="18" t="s">
        <v>66</v>
      </c>
      <c r="F281" s="21">
        <v>702</v>
      </c>
    </row>
    <row r="282" spans="2:6" x14ac:dyDescent="0.25">
      <c r="B282" s="27" t="s">
        <v>8</v>
      </c>
      <c r="C282" s="19">
        <f>40848+(3*365)</f>
        <v>41943</v>
      </c>
      <c r="D282" s="18" t="s">
        <v>81</v>
      </c>
      <c r="E282" s="18" t="s">
        <v>66</v>
      </c>
      <c r="F282" s="21">
        <v>984</v>
      </c>
    </row>
    <row r="283" spans="2:6" x14ac:dyDescent="0.25">
      <c r="B283" s="27" t="s">
        <v>11</v>
      </c>
      <c r="C283" s="19">
        <f>40883+(3*365)</f>
        <v>41978</v>
      </c>
      <c r="D283" s="18" t="s">
        <v>60</v>
      </c>
      <c r="E283" s="18" t="s">
        <v>59</v>
      </c>
      <c r="F283" s="21">
        <v>84</v>
      </c>
    </row>
    <row r="284" spans="2:6" x14ac:dyDescent="0.25">
      <c r="B284" s="27" t="s">
        <v>31</v>
      </c>
      <c r="C284" s="19">
        <f>40420+(3*365)</f>
        <v>41515</v>
      </c>
      <c r="D284" s="18" t="s">
        <v>76</v>
      </c>
      <c r="E284" s="18" t="s">
        <v>75</v>
      </c>
      <c r="F284" s="21">
        <v>288</v>
      </c>
    </row>
    <row r="285" spans="2:6" x14ac:dyDescent="0.25">
      <c r="B285" s="27" t="s">
        <v>18</v>
      </c>
      <c r="C285" s="19">
        <f>40663+(3*365)</f>
        <v>41758</v>
      </c>
      <c r="D285" s="18" t="s">
        <v>71</v>
      </c>
      <c r="E285" s="18" t="s">
        <v>72</v>
      </c>
      <c r="F285" s="21">
        <v>656</v>
      </c>
    </row>
    <row r="286" spans="2:6" x14ac:dyDescent="0.25">
      <c r="B286" s="27" t="s">
        <v>8</v>
      </c>
      <c r="C286" s="19">
        <f>39856+(3*365)</f>
        <v>40951</v>
      </c>
      <c r="D286" s="18" t="s">
        <v>77</v>
      </c>
      <c r="E286" s="18" t="s">
        <v>72</v>
      </c>
      <c r="F286" s="21">
        <v>2244</v>
      </c>
    </row>
    <row r="287" spans="2:6" x14ac:dyDescent="0.25">
      <c r="B287" s="27" t="s">
        <v>21</v>
      </c>
      <c r="C287" s="19">
        <f>40364+(3*365)</f>
        <v>41459</v>
      </c>
      <c r="D287" s="18" t="s">
        <v>73</v>
      </c>
      <c r="E287" s="18" t="s">
        <v>63</v>
      </c>
      <c r="F287" s="21">
        <v>54</v>
      </c>
    </row>
    <row r="288" spans="2:6" x14ac:dyDescent="0.25">
      <c r="B288" s="27" t="s">
        <v>18</v>
      </c>
      <c r="C288" s="19">
        <f>40636+(3*365)</f>
        <v>41731</v>
      </c>
      <c r="D288" s="18" t="s">
        <v>71</v>
      </c>
      <c r="E288" s="18" t="s">
        <v>61</v>
      </c>
      <c r="F288" s="21">
        <v>1152</v>
      </c>
    </row>
    <row r="289" spans="2:6" x14ac:dyDescent="0.25">
      <c r="B289" s="27" t="s">
        <v>25</v>
      </c>
      <c r="C289" s="19">
        <f>39919+(3*365)</f>
        <v>41014</v>
      </c>
      <c r="D289" s="18" t="s">
        <v>78</v>
      </c>
      <c r="E289" s="18" t="s">
        <v>75</v>
      </c>
      <c r="F289" s="21">
        <v>34</v>
      </c>
    </row>
    <row r="290" spans="2:6" x14ac:dyDescent="0.25">
      <c r="B290" s="27" t="s">
        <v>25</v>
      </c>
      <c r="C290" s="19">
        <f>40292+(3*365)</f>
        <v>41387</v>
      </c>
      <c r="D290" s="18" t="s">
        <v>78</v>
      </c>
      <c r="E290" s="18" t="s">
        <v>72</v>
      </c>
      <c r="F290" s="21">
        <v>444</v>
      </c>
    </row>
    <row r="291" spans="2:6" x14ac:dyDescent="0.25">
      <c r="B291" s="27" t="s">
        <v>10</v>
      </c>
      <c r="C291" s="19">
        <f>40636+(3*365)</f>
        <v>41731</v>
      </c>
      <c r="D291" s="18" t="s">
        <v>67</v>
      </c>
      <c r="E291" s="18" t="s">
        <v>75</v>
      </c>
      <c r="F291" s="21">
        <v>88</v>
      </c>
    </row>
    <row r="292" spans="2:6" x14ac:dyDescent="0.25">
      <c r="B292" s="27" t="s">
        <v>9</v>
      </c>
      <c r="C292" s="19">
        <f>40283+(3*365)</f>
        <v>41378</v>
      </c>
      <c r="D292" s="18" t="s">
        <v>80</v>
      </c>
      <c r="E292" s="18" t="s">
        <v>72</v>
      </c>
      <c r="F292" s="21">
        <v>3204</v>
      </c>
    </row>
    <row r="293" spans="2:6" x14ac:dyDescent="0.25">
      <c r="B293" s="27" t="s">
        <v>8</v>
      </c>
      <c r="C293" s="19">
        <f>40972+(3*365)</f>
        <v>42067</v>
      </c>
      <c r="D293" s="18" t="s">
        <v>81</v>
      </c>
      <c r="E293" s="18" t="s">
        <v>59</v>
      </c>
      <c r="F293" s="21">
        <v>300</v>
      </c>
    </row>
    <row r="294" spans="2:6" x14ac:dyDescent="0.25">
      <c r="B294" s="27" t="s">
        <v>21</v>
      </c>
      <c r="C294" s="19">
        <f>40342+(3*365)</f>
        <v>41437</v>
      </c>
      <c r="D294" s="18" t="s">
        <v>73</v>
      </c>
      <c r="E294" s="18" t="s">
        <v>69</v>
      </c>
      <c r="F294" s="21">
        <v>2430</v>
      </c>
    </row>
    <row r="295" spans="2:6" x14ac:dyDescent="0.25">
      <c r="B295" s="27" t="s">
        <v>10</v>
      </c>
      <c r="C295" s="19">
        <f>40782+(3*365)</f>
        <v>41877</v>
      </c>
      <c r="D295" s="18" t="s">
        <v>67</v>
      </c>
      <c r="E295" s="18" t="s">
        <v>64</v>
      </c>
      <c r="F295" s="21">
        <v>1120</v>
      </c>
    </row>
    <row r="296" spans="2:6" x14ac:dyDescent="0.25">
      <c r="B296" s="27" t="s">
        <v>11</v>
      </c>
      <c r="C296" s="19">
        <f>40162+(3*365)</f>
        <v>41257</v>
      </c>
      <c r="D296" s="18" t="s">
        <v>74</v>
      </c>
      <c r="E296" s="18" t="s">
        <v>64</v>
      </c>
      <c r="F296" s="21">
        <v>2319</v>
      </c>
    </row>
    <row r="297" spans="2:6" x14ac:dyDescent="0.25">
      <c r="B297" s="27" t="s">
        <v>25</v>
      </c>
      <c r="C297" s="19">
        <f>41258+(3*365)</f>
        <v>42353</v>
      </c>
      <c r="D297" s="18" t="s">
        <v>78</v>
      </c>
      <c r="E297" s="18" t="s">
        <v>59</v>
      </c>
      <c r="F297" s="21">
        <v>180</v>
      </c>
    </row>
    <row r="298" spans="2:6" x14ac:dyDescent="0.25">
      <c r="B298" s="27" t="s">
        <v>25</v>
      </c>
      <c r="C298" s="19">
        <f>40370+(3*365)</f>
        <v>41465</v>
      </c>
      <c r="D298" s="18" t="s">
        <v>79</v>
      </c>
      <c r="E298" s="18" t="s">
        <v>75</v>
      </c>
      <c r="F298" s="21">
        <v>252</v>
      </c>
    </row>
    <row r="299" spans="2:6" x14ac:dyDescent="0.25">
      <c r="B299" s="27" t="s">
        <v>18</v>
      </c>
      <c r="C299" s="19">
        <f>40634+(3*365)</f>
        <v>41729</v>
      </c>
      <c r="D299" s="18" t="s">
        <v>68</v>
      </c>
      <c r="E299" s="18" t="s">
        <v>61</v>
      </c>
      <c r="F299" s="21">
        <v>1040</v>
      </c>
    </row>
    <row r="300" spans="2:6" x14ac:dyDescent="0.25">
      <c r="B300" s="27" t="s">
        <v>25</v>
      </c>
      <c r="C300" s="19">
        <f>39963+(3*365)</f>
        <v>41058</v>
      </c>
      <c r="D300" s="18" t="s">
        <v>78</v>
      </c>
      <c r="E300" s="18" t="s">
        <v>61</v>
      </c>
      <c r="F300" s="21">
        <v>560</v>
      </c>
    </row>
    <row r="301" spans="2:6" x14ac:dyDescent="0.25">
      <c r="B301" s="27" t="s">
        <v>25</v>
      </c>
      <c r="C301" s="19">
        <f>39929+(3*365)</f>
        <v>41024</v>
      </c>
      <c r="D301" s="18" t="s">
        <v>79</v>
      </c>
      <c r="E301" s="18" t="s">
        <v>66</v>
      </c>
      <c r="F301" s="21">
        <v>312</v>
      </c>
    </row>
    <row r="302" spans="2:6" x14ac:dyDescent="0.25">
      <c r="B302" s="27" t="s">
        <v>21</v>
      </c>
      <c r="C302" s="19">
        <f>39906+(3*365)</f>
        <v>41001</v>
      </c>
      <c r="D302" s="18" t="s">
        <v>73</v>
      </c>
      <c r="E302" s="18" t="s">
        <v>61</v>
      </c>
      <c r="F302" s="21">
        <v>27</v>
      </c>
    </row>
    <row r="303" spans="2:6" x14ac:dyDescent="0.25">
      <c r="B303" s="27" t="s">
        <v>31</v>
      </c>
      <c r="C303" s="19">
        <f>41054+(3*365)</f>
        <v>42149</v>
      </c>
      <c r="D303" s="18" t="s">
        <v>76</v>
      </c>
      <c r="E303" s="18" t="s">
        <v>63</v>
      </c>
      <c r="F303" s="21">
        <v>1005</v>
      </c>
    </row>
    <row r="304" spans="2:6" x14ac:dyDescent="0.25">
      <c r="B304" s="27" t="s">
        <v>11</v>
      </c>
      <c r="C304" s="19">
        <f>39940+(3*365)</f>
        <v>41035</v>
      </c>
      <c r="D304" s="18" t="s">
        <v>60</v>
      </c>
      <c r="E304" s="18" t="s">
        <v>61</v>
      </c>
      <c r="F304" s="21">
        <v>1062</v>
      </c>
    </row>
    <row r="305" spans="2:6" x14ac:dyDescent="0.25">
      <c r="B305" s="27" t="s">
        <v>9</v>
      </c>
      <c r="C305" s="19">
        <f>40197+(3*365)</f>
        <v>41292</v>
      </c>
      <c r="D305" s="18" t="s">
        <v>80</v>
      </c>
      <c r="E305" s="18" t="s">
        <v>61</v>
      </c>
      <c r="F305" s="21">
        <v>232</v>
      </c>
    </row>
    <row r="306" spans="2:6" x14ac:dyDescent="0.25">
      <c r="B306" s="27" t="s">
        <v>18</v>
      </c>
      <c r="C306" s="19">
        <f>41010+(3*365)</f>
        <v>42105</v>
      </c>
      <c r="D306" s="18" t="s">
        <v>68</v>
      </c>
      <c r="E306" s="18" t="s">
        <v>72</v>
      </c>
      <c r="F306" s="21">
        <v>1785</v>
      </c>
    </row>
    <row r="307" spans="2:6" x14ac:dyDescent="0.25">
      <c r="B307" s="27" t="s">
        <v>18</v>
      </c>
      <c r="C307" s="19">
        <f>40771+(3*365)</f>
        <v>41866</v>
      </c>
      <c r="D307" s="18" t="s">
        <v>68</v>
      </c>
      <c r="E307" s="18" t="s">
        <v>66</v>
      </c>
      <c r="F307" s="21">
        <v>940</v>
      </c>
    </row>
    <row r="308" spans="2:6" x14ac:dyDescent="0.25">
      <c r="B308" s="27" t="s">
        <v>9</v>
      </c>
      <c r="C308" s="19">
        <f>40699+(3*365)</f>
        <v>41794</v>
      </c>
      <c r="D308" s="18" t="s">
        <v>80</v>
      </c>
      <c r="E308" s="18" t="s">
        <v>75</v>
      </c>
      <c r="F308" s="21">
        <v>324</v>
      </c>
    </row>
    <row r="309" spans="2:6" x14ac:dyDescent="0.25">
      <c r="B309" s="27" t="s">
        <v>18</v>
      </c>
      <c r="C309" s="19">
        <f>40762+(3*365)</f>
        <v>41857</v>
      </c>
      <c r="D309" s="18" t="s">
        <v>71</v>
      </c>
      <c r="E309" s="18" t="s">
        <v>66</v>
      </c>
      <c r="F309" s="21">
        <v>928</v>
      </c>
    </row>
    <row r="310" spans="2:6" x14ac:dyDescent="0.25">
      <c r="B310" s="27" t="s">
        <v>18</v>
      </c>
      <c r="C310" s="19">
        <f>41259+(3*365)</f>
        <v>42354</v>
      </c>
      <c r="D310" s="18" t="s">
        <v>71</v>
      </c>
      <c r="E310" s="18" t="s">
        <v>61</v>
      </c>
      <c r="F310" s="21">
        <v>1161</v>
      </c>
    </row>
    <row r="311" spans="2:6" x14ac:dyDescent="0.25">
      <c r="B311" s="27" t="s">
        <v>11</v>
      </c>
      <c r="C311" s="19">
        <f>40771+(3*365)</f>
        <v>41866</v>
      </c>
      <c r="D311" s="18" t="s">
        <v>74</v>
      </c>
      <c r="E311" s="18" t="s">
        <v>59</v>
      </c>
      <c r="F311" s="21">
        <v>414</v>
      </c>
    </row>
    <row r="312" spans="2:6" x14ac:dyDescent="0.25">
      <c r="B312" s="27" t="s">
        <v>21</v>
      </c>
      <c r="C312" s="19">
        <f>40725+(3*365)</f>
        <v>41820</v>
      </c>
      <c r="D312" s="18" t="s">
        <v>73</v>
      </c>
      <c r="E312" s="18" t="s">
        <v>61</v>
      </c>
      <c r="F312" s="21">
        <v>567</v>
      </c>
    </row>
    <row r="313" spans="2:6" x14ac:dyDescent="0.25">
      <c r="B313" s="27" t="s">
        <v>31</v>
      </c>
      <c r="C313" s="19">
        <f>40710+(3*365)</f>
        <v>41805</v>
      </c>
      <c r="D313" s="18" t="s">
        <v>70</v>
      </c>
      <c r="E313" s="18" t="s">
        <v>61</v>
      </c>
      <c r="F313" s="21">
        <v>765</v>
      </c>
    </row>
    <row r="314" spans="2:6" x14ac:dyDescent="0.25">
      <c r="B314" s="27" t="s">
        <v>31</v>
      </c>
      <c r="C314" s="19">
        <f>40060+(3*365)</f>
        <v>41155</v>
      </c>
      <c r="D314" s="18" t="s">
        <v>70</v>
      </c>
      <c r="E314" s="18" t="s">
        <v>61</v>
      </c>
      <c r="F314" s="21">
        <v>105</v>
      </c>
    </row>
    <row r="315" spans="2:6" x14ac:dyDescent="0.25">
      <c r="B315" s="27" t="s">
        <v>18</v>
      </c>
      <c r="C315" s="19">
        <f>40866+(3*365)</f>
        <v>41961</v>
      </c>
      <c r="D315" s="18" t="s">
        <v>71</v>
      </c>
      <c r="E315" s="18" t="s">
        <v>69</v>
      </c>
      <c r="F315" s="21">
        <v>920</v>
      </c>
    </row>
    <row r="316" spans="2:6" x14ac:dyDescent="0.25">
      <c r="B316" s="27" t="s">
        <v>11</v>
      </c>
      <c r="C316" s="19">
        <f>40964+(3*365)</f>
        <v>42059</v>
      </c>
      <c r="D316" s="18" t="s">
        <v>60</v>
      </c>
      <c r="E316" s="18" t="s">
        <v>66</v>
      </c>
      <c r="F316" s="21">
        <v>300</v>
      </c>
    </row>
    <row r="317" spans="2:6" x14ac:dyDescent="0.25">
      <c r="B317" s="27" t="s">
        <v>18</v>
      </c>
      <c r="C317" s="19">
        <f>40657+(3*365)</f>
        <v>41752</v>
      </c>
      <c r="D317" s="18" t="s">
        <v>68</v>
      </c>
      <c r="E317" s="18" t="s">
        <v>75</v>
      </c>
      <c r="F317" s="21">
        <v>368</v>
      </c>
    </row>
    <row r="318" spans="2:6" x14ac:dyDescent="0.25">
      <c r="B318" s="27" t="s">
        <v>10</v>
      </c>
      <c r="C318" s="19">
        <f>40174+(3*365)</f>
        <v>41269</v>
      </c>
      <c r="D318" s="18" t="s">
        <v>67</v>
      </c>
      <c r="E318" s="18" t="s">
        <v>61</v>
      </c>
      <c r="F318" s="21">
        <v>896</v>
      </c>
    </row>
    <row r="319" spans="2:6" x14ac:dyDescent="0.25">
      <c r="B319" s="27" t="s">
        <v>10</v>
      </c>
      <c r="C319" s="19">
        <f>40607+(3*365)</f>
        <v>41702</v>
      </c>
      <c r="D319" s="18" t="s">
        <v>67</v>
      </c>
      <c r="E319" s="18" t="s">
        <v>69</v>
      </c>
      <c r="F319" s="21">
        <v>1022</v>
      </c>
    </row>
    <row r="320" spans="2:6" x14ac:dyDescent="0.25">
      <c r="B320" s="27" t="s">
        <v>9</v>
      </c>
      <c r="C320" s="19">
        <f>39875+(3*365)</f>
        <v>40970</v>
      </c>
      <c r="D320" s="18" t="s">
        <v>62</v>
      </c>
      <c r="E320" s="18" t="s">
        <v>69</v>
      </c>
      <c r="F320" s="21">
        <v>1740</v>
      </c>
    </row>
    <row r="321" spans="2:6" x14ac:dyDescent="0.25">
      <c r="B321" s="27" t="s">
        <v>9</v>
      </c>
      <c r="C321" s="19">
        <f>41167+(3*365)</f>
        <v>42262</v>
      </c>
      <c r="D321" s="18" t="s">
        <v>80</v>
      </c>
      <c r="E321" s="18" t="s">
        <v>69</v>
      </c>
      <c r="F321" s="21">
        <v>1254</v>
      </c>
    </row>
    <row r="322" spans="2:6" x14ac:dyDescent="0.25">
      <c r="B322" s="27" t="s">
        <v>9</v>
      </c>
      <c r="C322" s="19">
        <f>41096+(3*365)</f>
        <v>42191</v>
      </c>
      <c r="D322" s="18" t="s">
        <v>62</v>
      </c>
      <c r="E322" s="18" t="s">
        <v>69</v>
      </c>
      <c r="F322" s="21">
        <v>126</v>
      </c>
    </row>
    <row r="323" spans="2:6" x14ac:dyDescent="0.25">
      <c r="B323" s="27" t="s">
        <v>11</v>
      </c>
      <c r="C323" s="19">
        <f>40300+(3*365)</f>
        <v>41395</v>
      </c>
      <c r="D323" s="18" t="s">
        <v>74</v>
      </c>
      <c r="E323" s="18" t="s">
        <v>59</v>
      </c>
      <c r="F323" s="21">
        <v>78</v>
      </c>
    </row>
    <row r="324" spans="2:6" x14ac:dyDescent="0.25">
      <c r="B324" s="27" t="s">
        <v>18</v>
      </c>
      <c r="C324" s="19">
        <f>41214+(3*365)</f>
        <v>42309</v>
      </c>
      <c r="D324" s="18" t="s">
        <v>71</v>
      </c>
      <c r="E324" s="18" t="s">
        <v>63</v>
      </c>
      <c r="F324" s="21">
        <v>150</v>
      </c>
    </row>
    <row r="325" spans="2:6" x14ac:dyDescent="0.25">
      <c r="B325" s="27" t="s">
        <v>18</v>
      </c>
      <c r="C325" s="19">
        <f>41174+(3*365)</f>
        <v>42269</v>
      </c>
      <c r="D325" s="18" t="s">
        <v>71</v>
      </c>
      <c r="E325" s="18" t="s">
        <v>66</v>
      </c>
      <c r="F325" s="21">
        <v>366</v>
      </c>
    </row>
    <row r="326" spans="2:6" x14ac:dyDescent="0.25">
      <c r="B326" s="27" t="s">
        <v>18</v>
      </c>
      <c r="C326" s="19">
        <f>40662+(3*365)</f>
        <v>41757</v>
      </c>
      <c r="D326" s="18" t="s">
        <v>71</v>
      </c>
      <c r="E326" s="18" t="s">
        <v>61</v>
      </c>
      <c r="F326" s="21">
        <v>528</v>
      </c>
    </row>
    <row r="327" spans="2:6" x14ac:dyDescent="0.25">
      <c r="B327" s="27" t="s">
        <v>10</v>
      </c>
      <c r="C327" s="19">
        <f>40004+(3*365)</f>
        <v>41099</v>
      </c>
      <c r="D327" s="18" t="s">
        <v>67</v>
      </c>
      <c r="E327" s="18" t="s">
        <v>64</v>
      </c>
      <c r="F327" s="21">
        <v>8260</v>
      </c>
    </row>
    <row r="328" spans="2:6" x14ac:dyDescent="0.25">
      <c r="B328" s="27" t="s">
        <v>21</v>
      </c>
      <c r="C328" s="19">
        <f>40767+(3*365)</f>
        <v>41862</v>
      </c>
      <c r="D328" s="18" t="s">
        <v>58</v>
      </c>
      <c r="E328" s="18" t="s">
        <v>63</v>
      </c>
      <c r="F328" s="21">
        <v>189</v>
      </c>
    </row>
    <row r="329" spans="2:6" x14ac:dyDescent="0.25">
      <c r="B329" s="27" t="s">
        <v>11</v>
      </c>
      <c r="C329" s="19">
        <f>40911+(3*365)</f>
        <v>42006</v>
      </c>
      <c r="D329" s="18" t="s">
        <v>74</v>
      </c>
      <c r="E329" s="18" t="s">
        <v>63</v>
      </c>
      <c r="F329" s="21">
        <v>1408</v>
      </c>
    </row>
    <row r="330" spans="2:6" x14ac:dyDescent="0.25">
      <c r="B330" s="27" t="s">
        <v>8</v>
      </c>
      <c r="C330" s="19">
        <f>40409+(3*365)</f>
        <v>41504</v>
      </c>
      <c r="D330" s="18" t="s">
        <v>77</v>
      </c>
      <c r="E330" s="18" t="s">
        <v>72</v>
      </c>
      <c r="F330" s="21">
        <v>1800</v>
      </c>
    </row>
    <row r="331" spans="2:6" x14ac:dyDescent="0.25">
      <c r="B331" s="27" t="s">
        <v>18</v>
      </c>
      <c r="C331" s="19">
        <f>39843+(3*365)</f>
        <v>40938</v>
      </c>
      <c r="D331" s="18" t="s">
        <v>68</v>
      </c>
      <c r="E331" s="18" t="s">
        <v>59</v>
      </c>
      <c r="F331" s="21">
        <v>64</v>
      </c>
    </row>
    <row r="332" spans="2:6" x14ac:dyDescent="0.25">
      <c r="B332" s="27" t="s">
        <v>11</v>
      </c>
      <c r="C332" s="19">
        <f>40696+(3*365)</f>
        <v>41791</v>
      </c>
      <c r="D332" s="18" t="s">
        <v>60</v>
      </c>
      <c r="E332" s="18" t="s">
        <v>63</v>
      </c>
      <c r="F332" s="21">
        <v>882</v>
      </c>
    </row>
    <row r="333" spans="2:6" x14ac:dyDescent="0.25">
      <c r="B333" s="27" t="s">
        <v>9</v>
      </c>
      <c r="C333" s="19">
        <f>41060+(3*365)</f>
        <v>42155</v>
      </c>
      <c r="D333" s="18" t="s">
        <v>62</v>
      </c>
      <c r="E333" s="18" t="s">
        <v>59</v>
      </c>
      <c r="F333" s="21">
        <v>135</v>
      </c>
    </row>
    <row r="334" spans="2:6" x14ac:dyDescent="0.25">
      <c r="B334" s="27" t="s">
        <v>25</v>
      </c>
      <c r="C334" s="19">
        <f>41244+(3*365)</f>
        <v>42339</v>
      </c>
      <c r="D334" s="18" t="s">
        <v>78</v>
      </c>
      <c r="E334" s="18" t="s">
        <v>66</v>
      </c>
      <c r="F334" s="21">
        <v>672</v>
      </c>
    </row>
    <row r="335" spans="2:6" x14ac:dyDescent="0.25">
      <c r="B335" s="27" t="s">
        <v>18</v>
      </c>
      <c r="C335" s="19">
        <f>40983+(3*365)</f>
        <v>42078</v>
      </c>
      <c r="D335" s="18" t="s">
        <v>68</v>
      </c>
      <c r="E335" s="18" t="s">
        <v>63</v>
      </c>
      <c r="F335" s="21">
        <v>621</v>
      </c>
    </row>
    <row r="336" spans="2:6" x14ac:dyDescent="0.25">
      <c r="B336" s="27" t="s">
        <v>21</v>
      </c>
      <c r="C336" s="19">
        <f>39920+(3*365)</f>
        <v>41015</v>
      </c>
      <c r="D336" s="18" t="s">
        <v>58</v>
      </c>
      <c r="E336" s="18" t="s">
        <v>63</v>
      </c>
      <c r="F336" s="21">
        <v>140</v>
      </c>
    </row>
    <row r="337" spans="2:6" x14ac:dyDescent="0.25">
      <c r="B337" s="27" t="s">
        <v>18</v>
      </c>
      <c r="C337" s="19">
        <f>41235+(3*365)</f>
        <v>42330</v>
      </c>
      <c r="D337" s="18" t="s">
        <v>68</v>
      </c>
      <c r="E337" s="18" t="s">
        <v>75</v>
      </c>
      <c r="F337" s="21">
        <v>462</v>
      </c>
    </row>
    <row r="338" spans="2:6" x14ac:dyDescent="0.25">
      <c r="B338" s="27" t="s">
        <v>25</v>
      </c>
      <c r="C338" s="19">
        <f>40664+(3*365)</f>
        <v>41759</v>
      </c>
      <c r="D338" s="18" t="s">
        <v>79</v>
      </c>
      <c r="E338" s="18" t="s">
        <v>75</v>
      </c>
      <c r="F338" s="21">
        <v>792</v>
      </c>
    </row>
    <row r="339" spans="2:6" x14ac:dyDescent="0.25">
      <c r="B339" s="27" t="s">
        <v>25</v>
      </c>
      <c r="C339" s="19">
        <f>40756+(3*365)</f>
        <v>41851</v>
      </c>
      <c r="D339" s="18" t="s">
        <v>79</v>
      </c>
      <c r="E339" s="18" t="s">
        <v>64</v>
      </c>
      <c r="F339" s="21">
        <v>8780</v>
      </c>
    </row>
    <row r="340" spans="2:6" x14ac:dyDescent="0.25">
      <c r="B340" s="27" t="s">
        <v>10</v>
      </c>
      <c r="C340" s="19">
        <f>40906+(3*365)</f>
        <v>42001</v>
      </c>
      <c r="D340" s="18" t="s">
        <v>65</v>
      </c>
      <c r="E340" s="18" t="s">
        <v>63</v>
      </c>
      <c r="F340" s="21">
        <v>164</v>
      </c>
    </row>
    <row r="341" spans="2:6" x14ac:dyDescent="0.25">
      <c r="B341" s="27" t="s">
        <v>9</v>
      </c>
      <c r="C341" s="19">
        <f>40067+(3*365)</f>
        <v>41162</v>
      </c>
      <c r="D341" s="18" t="s">
        <v>80</v>
      </c>
      <c r="E341" s="18" t="s">
        <v>59</v>
      </c>
      <c r="F341" s="21">
        <v>72</v>
      </c>
    </row>
    <row r="342" spans="2:6" x14ac:dyDescent="0.25">
      <c r="B342" s="27" t="s">
        <v>8</v>
      </c>
      <c r="C342" s="19">
        <f>40519+(3*365)</f>
        <v>41614</v>
      </c>
      <c r="D342" s="18" t="s">
        <v>77</v>
      </c>
      <c r="E342" s="18" t="s">
        <v>61</v>
      </c>
      <c r="F342" s="21">
        <v>256</v>
      </c>
    </row>
    <row r="343" spans="2:6" x14ac:dyDescent="0.25">
      <c r="B343" s="27" t="s">
        <v>25</v>
      </c>
      <c r="C343" s="19">
        <f>40238+(3*365)</f>
        <v>41333</v>
      </c>
      <c r="D343" s="18" t="s">
        <v>79</v>
      </c>
      <c r="E343" s="18" t="s">
        <v>61</v>
      </c>
      <c r="F343" s="21">
        <v>486</v>
      </c>
    </row>
    <row r="344" spans="2:6" x14ac:dyDescent="0.25">
      <c r="B344" s="27" t="s">
        <v>8</v>
      </c>
      <c r="C344" s="19">
        <f>40459+(3*365)</f>
        <v>41554</v>
      </c>
      <c r="D344" s="18" t="s">
        <v>77</v>
      </c>
      <c r="E344" s="18" t="s">
        <v>75</v>
      </c>
      <c r="F344" s="21">
        <v>1184</v>
      </c>
    </row>
    <row r="345" spans="2:6" x14ac:dyDescent="0.25">
      <c r="B345" s="27" t="s">
        <v>11</v>
      </c>
      <c r="C345" s="19">
        <f>40090+(3*365)</f>
        <v>41185</v>
      </c>
      <c r="D345" s="18" t="s">
        <v>60</v>
      </c>
      <c r="E345" s="18" t="s">
        <v>59</v>
      </c>
      <c r="F345" s="21">
        <v>108</v>
      </c>
    </row>
    <row r="346" spans="2:6" x14ac:dyDescent="0.25">
      <c r="B346" s="27" t="s">
        <v>10</v>
      </c>
      <c r="C346" s="19">
        <f>39992+(3*365)</f>
        <v>41087</v>
      </c>
      <c r="D346" s="18" t="s">
        <v>65</v>
      </c>
      <c r="E346" s="18" t="s">
        <v>69</v>
      </c>
      <c r="F346" s="21">
        <v>628</v>
      </c>
    </row>
    <row r="347" spans="2:6" x14ac:dyDescent="0.25">
      <c r="B347" s="27" t="s">
        <v>18</v>
      </c>
      <c r="C347" s="19">
        <f>40934+(3*365)</f>
        <v>42029</v>
      </c>
      <c r="D347" s="18" t="s">
        <v>68</v>
      </c>
      <c r="E347" s="18" t="s">
        <v>75</v>
      </c>
      <c r="F347" s="21">
        <v>576</v>
      </c>
    </row>
    <row r="348" spans="2:6" x14ac:dyDescent="0.25">
      <c r="B348" s="27" t="s">
        <v>31</v>
      </c>
      <c r="C348" s="19">
        <f>40157+(3*365)</f>
        <v>41252</v>
      </c>
      <c r="D348" s="18" t="s">
        <v>76</v>
      </c>
      <c r="E348" s="18" t="s">
        <v>61</v>
      </c>
      <c r="F348" s="21">
        <v>456</v>
      </c>
    </row>
    <row r="349" spans="2:6" x14ac:dyDescent="0.25">
      <c r="B349" s="27" t="s">
        <v>9</v>
      </c>
      <c r="C349" s="19">
        <f>39906+(3*365)</f>
        <v>41001</v>
      </c>
      <c r="D349" s="18" t="s">
        <v>80</v>
      </c>
      <c r="E349" s="18" t="s">
        <v>69</v>
      </c>
      <c r="F349" s="21">
        <v>588</v>
      </c>
    </row>
    <row r="350" spans="2:6" x14ac:dyDescent="0.25">
      <c r="B350" s="27" t="s">
        <v>11</v>
      </c>
      <c r="C350" s="19">
        <f>40294+(3*365)</f>
        <v>41389</v>
      </c>
      <c r="D350" s="18" t="s">
        <v>74</v>
      </c>
      <c r="E350" s="18" t="s">
        <v>72</v>
      </c>
      <c r="F350" s="21">
        <v>5724</v>
      </c>
    </row>
    <row r="351" spans="2:6" x14ac:dyDescent="0.25">
      <c r="B351" s="27" t="s">
        <v>9</v>
      </c>
      <c r="C351" s="19">
        <f>40052+(3*365)</f>
        <v>41147</v>
      </c>
      <c r="D351" s="18" t="s">
        <v>80</v>
      </c>
      <c r="E351" s="18" t="s">
        <v>64</v>
      </c>
      <c r="F351" s="21">
        <v>7020</v>
      </c>
    </row>
    <row r="352" spans="2:6" x14ac:dyDescent="0.25">
      <c r="B352" s="27" t="s">
        <v>25</v>
      </c>
      <c r="C352" s="19">
        <f>40925+(3*365)</f>
        <v>42020</v>
      </c>
      <c r="D352" s="18" t="s">
        <v>78</v>
      </c>
      <c r="E352" s="18" t="s">
        <v>64</v>
      </c>
      <c r="F352" s="21">
        <v>6048</v>
      </c>
    </row>
    <row r="353" spans="2:6" x14ac:dyDescent="0.25">
      <c r="B353" s="27" t="s">
        <v>8</v>
      </c>
      <c r="C353" s="19">
        <f>40031+(3*365)</f>
        <v>41126</v>
      </c>
      <c r="D353" s="18" t="s">
        <v>77</v>
      </c>
      <c r="E353" s="18" t="s">
        <v>75</v>
      </c>
      <c r="F353" s="21">
        <v>675</v>
      </c>
    </row>
    <row r="354" spans="2:6" x14ac:dyDescent="0.25">
      <c r="B354" s="27" t="s">
        <v>18</v>
      </c>
      <c r="C354" s="19">
        <f>40778+(3*365)</f>
        <v>41873</v>
      </c>
      <c r="D354" s="18" t="s">
        <v>71</v>
      </c>
      <c r="E354" s="18" t="s">
        <v>61</v>
      </c>
      <c r="F354" s="21">
        <v>504</v>
      </c>
    </row>
    <row r="355" spans="2:6" x14ac:dyDescent="0.25">
      <c r="B355" s="27" t="s">
        <v>11</v>
      </c>
      <c r="C355" s="19">
        <f>40672+(3*365)</f>
        <v>41767</v>
      </c>
      <c r="D355" s="18" t="s">
        <v>60</v>
      </c>
      <c r="E355" s="18" t="s">
        <v>66</v>
      </c>
      <c r="F355" s="21">
        <v>924</v>
      </c>
    </row>
    <row r="356" spans="2:6" x14ac:dyDescent="0.25">
      <c r="B356" s="27" t="s">
        <v>11</v>
      </c>
      <c r="C356" s="19">
        <f>41243+(3*365)</f>
        <v>42338</v>
      </c>
      <c r="D356" s="18" t="s">
        <v>60</v>
      </c>
      <c r="E356" s="18" t="s">
        <v>72</v>
      </c>
      <c r="F356" s="21">
        <v>5180</v>
      </c>
    </row>
    <row r="357" spans="2:6" x14ac:dyDescent="0.25">
      <c r="B357" s="27" t="s">
        <v>21</v>
      </c>
      <c r="C357" s="19">
        <f>40386+(3*365)</f>
        <v>41481</v>
      </c>
      <c r="D357" s="18" t="s">
        <v>73</v>
      </c>
      <c r="E357" s="18" t="s">
        <v>66</v>
      </c>
      <c r="F357" s="21">
        <v>448</v>
      </c>
    </row>
    <row r="358" spans="2:6" x14ac:dyDescent="0.25">
      <c r="B358" s="27" t="s">
        <v>25</v>
      </c>
      <c r="C358" s="19">
        <f>40793+(3*365)</f>
        <v>41888</v>
      </c>
      <c r="D358" s="18" t="s">
        <v>79</v>
      </c>
      <c r="E358" s="18" t="s">
        <v>72</v>
      </c>
      <c r="F358" s="21">
        <v>4392</v>
      </c>
    </row>
    <row r="359" spans="2:6" x14ac:dyDescent="0.25">
      <c r="B359" s="27" t="s">
        <v>8</v>
      </c>
      <c r="C359" s="19">
        <f>40885+(3*365)</f>
        <v>41980</v>
      </c>
      <c r="D359" s="18" t="s">
        <v>81</v>
      </c>
      <c r="E359" s="18" t="s">
        <v>69</v>
      </c>
      <c r="F359" s="21">
        <v>3184</v>
      </c>
    </row>
    <row r="360" spans="2:6" x14ac:dyDescent="0.25">
      <c r="B360" s="27" t="s">
        <v>31</v>
      </c>
      <c r="C360" s="19">
        <f>41152+(3*365)</f>
        <v>42247</v>
      </c>
      <c r="D360" s="18" t="s">
        <v>70</v>
      </c>
      <c r="E360" s="18" t="s">
        <v>66</v>
      </c>
      <c r="F360" s="21">
        <v>1824</v>
      </c>
    </row>
    <row r="361" spans="2:6" x14ac:dyDescent="0.25">
      <c r="B361" s="27" t="s">
        <v>21</v>
      </c>
      <c r="C361" s="19">
        <f>40670+(3*365)</f>
        <v>41765</v>
      </c>
      <c r="D361" s="18" t="s">
        <v>73</v>
      </c>
      <c r="E361" s="18" t="s">
        <v>72</v>
      </c>
      <c r="F361" s="21">
        <v>3420</v>
      </c>
    </row>
    <row r="362" spans="2:6" x14ac:dyDescent="0.25">
      <c r="B362" s="27" t="s">
        <v>8</v>
      </c>
      <c r="C362" s="19">
        <f>40082+(3*365)</f>
        <v>41177</v>
      </c>
      <c r="D362" s="18" t="s">
        <v>77</v>
      </c>
      <c r="E362" s="18" t="s">
        <v>69</v>
      </c>
      <c r="F362" s="21">
        <v>579</v>
      </c>
    </row>
    <row r="363" spans="2:6" x14ac:dyDescent="0.25">
      <c r="B363" s="27" t="s">
        <v>31</v>
      </c>
      <c r="C363" s="19">
        <f>41035+(3*365)</f>
        <v>42130</v>
      </c>
      <c r="D363" s="18" t="s">
        <v>70</v>
      </c>
      <c r="E363" s="18" t="s">
        <v>75</v>
      </c>
      <c r="F363" s="21">
        <v>99</v>
      </c>
    </row>
    <row r="364" spans="2:6" x14ac:dyDescent="0.25">
      <c r="B364" s="27" t="s">
        <v>31</v>
      </c>
      <c r="C364" s="19">
        <f>41082+(3*365)</f>
        <v>42177</v>
      </c>
      <c r="D364" s="18" t="s">
        <v>70</v>
      </c>
      <c r="E364" s="18" t="s">
        <v>75</v>
      </c>
      <c r="F364" s="21">
        <v>525</v>
      </c>
    </row>
    <row r="365" spans="2:6" x14ac:dyDescent="0.25">
      <c r="B365" s="27" t="s">
        <v>31</v>
      </c>
      <c r="C365" s="19">
        <f>40104+(3*365)</f>
        <v>41199</v>
      </c>
      <c r="D365" s="18" t="s">
        <v>76</v>
      </c>
      <c r="E365" s="18" t="s">
        <v>64</v>
      </c>
      <c r="F365" s="21">
        <v>9882</v>
      </c>
    </row>
    <row r="366" spans="2:6" x14ac:dyDescent="0.25">
      <c r="B366" s="27" t="s">
        <v>31</v>
      </c>
      <c r="C366" s="19">
        <f>39922+(3*365)</f>
        <v>41017</v>
      </c>
      <c r="D366" s="18" t="s">
        <v>70</v>
      </c>
      <c r="E366" s="18" t="s">
        <v>66</v>
      </c>
      <c r="F366" s="21">
        <v>297</v>
      </c>
    </row>
    <row r="367" spans="2:6" x14ac:dyDescent="0.25">
      <c r="B367" s="27" t="s">
        <v>18</v>
      </c>
      <c r="C367" s="19">
        <f>40498+(3*365)</f>
        <v>41593</v>
      </c>
      <c r="D367" s="18" t="s">
        <v>68</v>
      </c>
      <c r="E367" s="18" t="s">
        <v>61</v>
      </c>
      <c r="F367" s="21">
        <v>423</v>
      </c>
    </row>
    <row r="368" spans="2:6" x14ac:dyDescent="0.25">
      <c r="B368" s="27" t="s">
        <v>10</v>
      </c>
      <c r="C368" s="19">
        <f>41132+(3*365)</f>
        <v>42227</v>
      </c>
      <c r="D368" s="18" t="s">
        <v>67</v>
      </c>
      <c r="E368" s="18" t="s">
        <v>69</v>
      </c>
      <c r="F368" s="21">
        <v>1488</v>
      </c>
    </row>
    <row r="369" spans="2:6" x14ac:dyDescent="0.25">
      <c r="B369" s="27" t="s">
        <v>25</v>
      </c>
      <c r="C369" s="19">
        <f>40857+(3*365)</f>
        <v>41952</v>
      </c>
      <c r="D369" s="18" t="s">
        <v>78</v>
      </c>
      <c r="E369" s="18" t="s">
        <v>69</v>
      </c>
      <c r="F369" s="21">
        <v>4128</v>
      </c>
    </row>
    <row r="370" spans="2:6" x14ac:dyDescent="0.25">
      <c r="B370" s="27" t="s">
        <v>10</v>
      </c>
      <c r="C370" s="19">
        <f>40757+(3*365)</f>
        <v>41852</v>
      </c>
      <c r="D370" s="18" t="s">
        <v>67</v>
      </c>
      <c r="E370" s="18" t="s">
        <v>66</v>
      </c>
      <c r="F370" s="21">
        <v>804</v>
      </c>
    </row>
    <row r="371" spans="2:6" x14ac:dyDescent="0.25">
      <c r="B371" s="27" t="s">
        <v>31</v>
      </c>
      <c r="C371" s="19">
        <f>40156+(3*365)</f>
        <v>41251</v>
      </c>
      <c r="D371" s="18" t="s">
        <v>76</v>
      </c>
      <c r="E371" s="18" t="s">
        <v>63</v>
      </c>
      <c r="F371" s="21">
        <v>228</v>
      </c>
    </row>
    <row r="372" spans="2:6" x14ac:dyDescent="0.25">
      <c r="B372" s="27" t="s">
        <v>8</v>
      </c>
      <c r="C372" s="19">
        <f>41067+(3*365)</f>
        <v>42162</v>
      </c>
      <c r="D372" s="18" t="s">
        <v>81</v>
      </c>
      <c r="E372" s="18" t="s">
        <v>63</v>
      </c>
      <c r="F372" s="21">
        <v>1980</v>
      </c>
    </row>
    <row r="373" spans="2:6" x14ac:dyDescent="0.25">
      <c r="B373" s="27" t="s">
        <v>21</v>
      </c>
      <c r="C373" s="19">
        <f>40029+(3*365)</f>
        <v>41124</v>
      </c>
      <c r="D373" s="18" t="s">
        <v>58</v>
      </c>
      <c r="E373" s="18" t="s">
        <v>63</v>
      </c>
      <c r="F373" s="21">
        <v>315</v>
      </c>
    </row>
    <row r="374" spans="2:6" x14ac:dyDescent="0.25">
      <c r="B374" s="27" t="s">
        <v>8</v>
      </c>
      <c r="C374" s="19">
        <f>40083+(3*365)</f>
        <v>41178</v>
      </c>
      <c r="D374" s="18" t="s">
        <v>77</v>
      </c>
      <c r="E374" s="18" t="s">
        <v>61</v>
      </c>
      <c r="F374" s="21">
        <v>675</v>
      </c>
    </row>
    <row r="375" spans="2:6" x14ac:dyDescent="0.25">
      <c r="B375" s="27" t="s">
        <v>9</v>
      </c>
      <c r="C375" s="19">
        <f>40010+(3*365)</f>
        <v>41105</v>
      </c>
      <c r="D375" s="18" t="s">
        <v>80</v>
      </c>
      <c r="E375" s="18" t="s">
        <v>63</v>
      </c>
      <c r="F375" s="21">
        <v>276</v>
      </c>
    </row>
    <row r="376" spans="2:6" x14ac:dyDescent="0.25">
      <c r="B376" s="27" t="s">
        <v>31</v>
      </c>
      <c r="C376" s="19">
        <f>40953+(3*365)</f>
        <v>42048</v>
      </c>
      <c r="D376" s="18" t="s">
        <v>70</v>
      </c>
      <c r="E376" s="18" t="s">
        <v>61</v>
      </c>
      <c r="F376" s="21">
        <v>675</v>
      </c>
    </row>
    <row r="377" spans="2:6" x14ac:dyDescent="0.25">
      <c r="B377" s="27" t="s">
        <v>21</v>
      </c>
      <c r="C377" s="19">
        <f>40745+(3*365)</f>
        <v>41840</v>
      </c>
      <c r="D377" s="18" t="s">
        <v>73</v>
      </c>
      <c r="E377" s="18" t="s">
        <v>64</v>
      </c>
      <c r="F377" s="21">
        <v>16338</v>
      </c>
    </row>
    <row r="378" spans="2:6" x14ac:dyDescent="0.25">
      <c r="B378" s="27" t="s">
        <v>11</v>
      </c>
      <c r="C378" s="19">
        <f>40328+(3*365)</f>
        <v>41423</v>
      </c>
      <c r="D378" s="18" t="s">
        <v>74</v>
      </c>
      <c r="E378" s="18" t="s">
        <v>59</v>
      </c>
      <c r="F378" s="21">
        <v>228</v>
      </c>
    </row>
    <row r="379" spans="2:6" x14ac:dyDescent="0.25">
      <c r="B379" s="27" t="s">
        <v>8</v>
      </c>
      <c r="C379" s="19">
        <f>40130+(3*365)</f>
        <v>41225</v>
      </c>
      <c r="D379" s="18" t="s">
        <v>81</v>
      </c>
      <c r="E379" s="18" t="s">
        <v>72</v>
      </c>
      <c r="F379" s="21">
        <v>3315</v>
      </c>
    </row>
    <row r="380" spans="2:6" x14ac:dyDescent="0.25">
      <c r="B380" s="27" t="s">
        <v>31</v>
      </c>
      <c r="C380" s="19">
        <f>40285+(3*365)</f>
        <v>41380</v>
      </c>
      <c r="D380" s="18" t="s">
        <v>70</v>
      </c>
      <c r="E380" s="18" t="s">
        <v>59</v>
      </c>
      <c r="F380" s="21">
        <v>594</v>
      </c>
    </row>
    <row r="381" spans="2:6" x14ac:dyDescent="0.25">
      <c r="B381" s="27" t="s">
        <v>10</v>
      </c>
      <c r="C381" s="19">
        <f>40097+(3*365)</f>
        <v>41192</v>
      </c>
      <c r="D381" s="18" t="s">
        <v>65</v>
      </c>
      <c r="E381" s="18" t="s">
        <v>64</v>
      </c>
      <c r="F381" s="21">
        <v>23580</v>
      </c>
    </row>
    <row r="382" spans="2:6" x14ac:dyDescent="0.25">
      <c r="B382" s="27" t="s">
        <v>10</v>
      </c>
      <c r="C382" s="19">
        <f>40678+(3*365)</f>
        <v>41773</v>
      </c>
      <c r="D382" s="18" t="s">
        <v>65</v>
      </c>
      <c r="E382" s="18" t="s">
        <v>64</v>
      </c>
      <c r="F382" s="21">
        <v>3720</v>
      </c>
    </row>
    <row r="383" spans="2:6" x14ac:dyDescent="0.25">
      <c r="B383" s="27" t="s">
        <v>25</v>
      </c>
      <c r="C383" s="19">
        <f>40631+(3*365)</f>
        <v>41726</v>
      </c>
      <c r="D383" s="18" t="s">
        <v>79</v>
      </c>
      <c r="E383" s="18" t="s">
        <v>61</v>
      </c>
      <c r="F383" s="21">
        <v>960</v>
      </c>
    </row>
    <row r="384" spans="2:6" x14ac:dyDescent="0.25">
      <c r="B384" s="27" t="s">
        <v>9</v>
      </c>
      <c r="C384" s="19">
        <f>40105+(3*365)</f>
        <v>41200</v>
      </c>
      <c r="D384" s="18" t="s">
        <v>80</v>
      </c>
      <c r="E384" s="18" t="s">
        <v>72</v>
      </c>
      <c r="F384" s="21">
        <v>2010</v>
      </c>
    </row>
    <row r="385" spans="2:6" x14ac:dyDescent="0.25">
      <c r="B385" s="27" t="s">
        <v>10</v>
      </c>
      <c r="C385" s="19">
        <f>41201+(3*365)</f>
        <v>42296</v>
      </c>
      <c r="D385" s="18" t="s">
        <v>65</v>
      </c>
      <c r="E385" s="18" t="s">
        <v>64</v>
      </c>
      <c r="F385" s="21">
        <v>6444</v>
      </c>
    </row>
    <row r="386" spans="2:6" x14ac:dyDescent="0.25">
      <c r="B386" s="27" t="s">
        <v>9</v>
      </c>
      <c r="C386" s="19">
        <f>40977+(3*365)</f>
        <v>42072</v>
      </c>
      <c r="D386" s="18" t="s">
        <v>62</v>
      </c>
      <c r="E386" s="18" t="s">
        <v>61</v>
      </c>
      <c r="F386" s="21">
        <v>147</v>
      </c>
    </row>
    <row r="387" spans="2:6" x14ac:dyDescent="0.25">
      <c r="B387" s="27" t="s">
        <v>25</v>
      </c>
      <c r="C387" s="19">
        <f>39944+(3*365)</f>
        <v>41039</v>
      </c>
      <c r="D387" s="18" t="s">
        <v>79</v>
      </c>
      <c r="E387" s="18" t="s">
        <v>63</v>
      </c>
      <c r="F387" s="21">
        <v>130</v>
      </c>
    </row>
    <row r="388" spans="2:6" x14ac:dyDescent="0.25">
      <c r="B388" s="27" t="s">
        <v>10</v>
      </c>
      <c r="C388" s="19">
        <f>40267+(3*365)</f>
        <v>41362</v>
      </c>
      <c r="D388" s="18" t="s">
        <v>65</v>
      </c>
      <c r="E388" s="18" t="s">
        <v>63</v>
      </c>
      <c r="F388" s="21">
        <v>1050</v>
      </c>
    </row>
    <row r="389" spans="2:6" x14ac:dyDescent="0.25">
      <c r="B389" s="27" t="s">
        <v>11</v>
      </c>
      <c r="C389" s="19">
        <f>40100+(3*365)</f>
        <v>41195</v>
      </c>
      <c r="D389" s="18" t="s">
        <v>60</v>
      </c>
      <c r="E389" s="18" t="s">
        <v>72</v>
      </c>
      <c r="F389" s="21">
        <v>2688</v>
      </c>
    </row>
    <row r="390" spans="2:6" x14ac:dyDescent="0.25">
      <c r="B390" s="27" t="s">
        <v>21</v>
      </c>
      <c r="C390" s="19">
        <f>40474+(3*365)</f>
        <v>41569</v>
      </c>
      <c r="D390" s="18" t="s">
        <v>73</v>
      </c>
      <c r="E390" s="18" t="s">
        <v>59</v>
      </c>
      <c r="F390" s="21">
        <v>200</v>
      </c>
    </row>
    <row r="391" spans="2:6" x14ac:dyDescent="0.25">
      <c r="B391" s="27" t="s">
        <v>18</v>
      </c>
      <c r="C391" s="19">
        <f>40073+(3*365)</f>
        <v>41168</v>
      </c>
      <c r="D391" s="18" t="s">
        <v>68</v>
      </c>
      <c r="E391" s="18" t="s">
        <v>75</v>
      </c>
      <c r="F391" s="21">
        <v>270</v>
      </c>
    </row>
    <row r="392" spans="2:6" x14ac:dyDescent="0.25">
      <c r="B392" s="27" t="s">
        <v>11</v>
      </c>
      <c r="C392" s="19">
        <f>40689+(3*365)</f>
        <v>41784</v>
      </c>
      <c r="D392" s="18" t="s">
        <v>74</v>
      </c>
      <c r="E392" s="18" t="s">
        <v>63</v>
      </c>
      <c r="F392" s="21">
        <v>540</v>
      </c>
    </row>
    <row r="393" spans="2:6" x14ac:dyDescent="0.25">
      <c r="B393" s="27" t="s">
        <v>9</v>
      </c>
      <c r="C393" s="19">
        <f>40118+(3*365)</f>
        <v>41213</v>
      </c>
      <c r="D393" s="18" t="s">
        <v>80</v>
      </c>
      <c r="E393" s="18" t="s">
        <v>66</v>
      </c>
      <c r="F393" s="21">
        <v>300</v>
      </c>
    </row>
    <row r="394" spans="2:6" x14ac:dyDescent="0.25">
      <c r="B394" s="27" t="s">
        <v>8</v>
      </c>
      <c r="C394" s="19">
        <f>40525+(3*365)</f>
        <v>41620</v>
      </c>
      <c r="D394" s="18" t="s">
        <v>77</v>
      </c>
      <c r="E394" s="18" t="s">
        <v>66</v>
      </c>
      <c r="F394" s="21">
        <v>744</v>
      </c>
    </row>
    <row r="395" spans="2:6" x14ac:dyDescent="0.25">
      <c r="B395" s="27" t="s">
        <v>8</v>
      </c>
      <c r="C395" s="19">
        <f>40685+(3*365)</f>
        <v>41780</v>
      </c>
      <c r="D395" s="18" t="s">
        <v>77</v>
      </c>
      <c r="E395" s="18" t="s">
        <v>66</v>
      </c>
      <c r="F395" s="21">
        <v>328</v>
      </c>
    </row>
    <row r="396" spans="2:6" x14ac:dyDescent="0.25">
      <c r="B396" s="27" t="s">
        <v>21</v>
      </c>
      <c r="C396" s="19">
        <f>41056+(3*365)</f>
        <v>42151</v>
      </c>
      <c r="D396" s="18" t="s">
        <v>73</v>
      </c>
      <c r="E396" s="18" t="s">
        <v>69</v>
      </c>
      <c r="F396" s="21">
        <v>1224</v>
      </c>
    </row>
    <row r="397" spans="2:6" x14ac:dyDescent="0.25">
      <c r="B397" s="27" t="s">
        <v>11</v>
      </c>
      <c r="C397" s="19">
        <f>40638+(3*365)</f>
        <v>41733</v>
      </c>
      <c r="D397" s="18" t="s">
        <v>60</v>
      </c>
      <c r="E397" s="18" t="s">
        <v>59</v>
      </c>
      <c r="F397" s="21">
        <v>756</v>
      </c>
    </row>
    <row r="398" spans="2:6" x14ac:dyDescent="0.25">
      <c r="B398" s="27" t="s">
        <v>8</v>
      </c>
      <c r="C398" s="19">
        <f>40941+(3*365)</f>
        <v>42036</v>
      </c>
      <c r="D398" s="18" t="s">
        <v>81</v>
      </c>
      <c r="E398" s="18" t="s">
        <v>61</v>
      </c>
      <c r="F398" s="21">
        <v>880</v>
      </c>
    </row>
    <row r="399" spans="2:6" x14ac:dyDescent="0.25">
      <c r="B399" s="27" t="s">
        <v>18</v>
      </c>
      <c r="C399" s="19">
        <f>40099+(3*365)</f>
        <v>41194</v>
      </c>
      <c r="D399" s="18" t="s">
        <v>71</v>
      </c>
      <c r="E399" s="18" t="s">
        <v>61</v>
      </c>
      <c r="F399" s="21">
        <v>320</v>
      </c>
    </row>
    <row r="400" spans="2:6" x14ac:dyDescent="0.25">
      <c r="B400" s="27" t="s">
        <v>8</v>
      </c>
      <c r="C400" s="19">
        <f>39868+(3*365)</f>
        <v>40963</v>
      </c>
      <c r="D400" s="18" t="s">
        <v>81</v>
      </c>
      <c r="E400" s="18" t="s">
        <v>69</v>
      </c>
      <c r="F400" s="21">
        <v>2052</v>
      </c>
    </row>
    <row r="401" spans="2:6" x14ac:dyDescent="0.25">
      <c r="B401" s="27" t="s">
        <v>31</v>
      </c>
      <c r="C401" s="19">
        <f>41126+(3*365)</f>
        <v>42221</v>
      </c>
      <c r="D401" s="18" t="s">
        <v>76</v>
      </c>
      <c r="E401" s="18" t="s">
        <v>66</v>
      </c>
      <c r="F401" s="21">
        <v>744</v>
      </c>
    </row>
    <row r="402" spans="2:6" x14ac:dyDescent="0.25">
      <c r="B402" s="27" t="s">
        <v>9</v>
      </c>
      <c r="C402" s="19">
        <f>40690+(3*365)</f>
        <v>41785</v>
      </c>
      <c r="D402" s="18" t="s">
        <v>80</v>
      </c>
      <c r="E402" s="18" t="s">
        <v>63</v>
      </c>
      <c r="F402" s="21">
        <v>864</v>
      </c>
    </row>
    <row r="403" spans="2:6" x14ac:dyDescent="0.25">
      <c r="B403" s="27" t="s">
        <v>11</v>
      </c>
      <c r="C403" s="19">
        <f>40957+(3*365)</f>
        <v>42052</v>
      </c>
      <c r="D403" s="18" t="s">
        <v>74</v>
      </c>
      <c r="E403" s="18" t="s">
        <v>75</v>
      </c>
      <c r="F403" s="21">
        <v>720</v>
      </c>
    </row>
    <row r="404" spans="2:6" x14ac:dyDescent="0.25">
      <c r="B404" s="27" t="s">
        <v>18</v>
      </c>
      <c r="C404" s="19">
        <f>40652+(3*365)</f>
        <v>41747</v>
      </c>
      <c r="D404" s="18" t="s">
        <v>68</v>
      </c>
      <c r="E404" s="18" t="s">
        <v>69</v>
      </c>
      <c r="F404" s="21">
        <v>1152</v>
      </c>
    </row>
    <row r="405" spans="2:6" x14ac:dyDescent="0.25">
      <c r="B405" s="27" t="s">
        <v>10</v>
      </c>
      <c r="C405" s="19">
        <f>39930+(3*365)</f>
        <v>41025</v>
      </c>
      <c r="D405" s="18" t="s">
        <v>65</v>
      </c>
      <c r="E405" s="18" t="s">
        <v>63</v>
      </c>
      <c r="F405" s="21">
        <v>248</v>
      </c>
    </row>
    <row r="406" spans="2:6" x14ac:dyDescent="0.25">
      <c r="B406" s="27" t="s">
        <v>11</v>
      </c>
      <c r="C406" s="19">
        <f>40662+(3*365)</f>
        <v>41757</v>
      </c>
      <c r="D406" s="18" t="s">
        <v>60</v>
      </c>
      <c r="E406" s="18" t="s">
        <v>61</v>
      </c>
      <c r="F406" s="21">
        <v>1422</v>
      </c>
    </row>
    <row r="407" spans="2:6" x14ac:dyDescent="0.25">
      <c r="B407" s="27" t="s">
        <v>18</v>
      </c>
      <c r="C407" s="19">
        <f>40893+(3*365)</f>
        <v>41988</v>
      </c>
      <c r="D407" s="18" t="s">
        <v>71</v>
      </c>
      <c r="E407" s="18" t="s">
        <v>59</v>
      </c>
      <c r="F407" s="21">
        <v>1064</v>
      </c>
    </row>
    <row r="408" spans="2:6" x14ac:dyDescent="0.25">
      <c r="B408" s="27" t="s">
        <v>10</v>
      </c>
      <c r="C408" s="19">
        <f>39904+(3*365)</f>
        <v>40999</v>
      </c>
      <c r="D408" s="18" t="s">
        <v>67</v>
      </c>
      <c r="E408" s="18" t="s">
        <v>63</v>
      </c>
      <c r="F408" s="21">
        <v>2376</v>
      </c>
    </row>
    <row r="409" spans="2:6" x14ac:dyDescent="0.25">
      <c r="B409" s="27" t="s">
        <v>25</v>
      </c>
      <c r="C409" s="19">
        <f>41080+(3*365)</f>
        <v>42175</v>
      </c>
      <c r="D409" s="18" t="s">
        <v>78</v>
      </c>
      <c r="E409" s="18" t="s">
        <v>69</v>
      </c>
      <c r="F409" s="21">
        <v>2576</v>
      </c>
    </row>
    <row r="410" spans="2:6" x14ac:dyDescent="0.25">
      <c r="B410" s="27" t="s">
        <v>10</v>
      </c>
      <c r="C410" s="19">
        <f>41149+(3*365)</f>
        <v>42244</v>
      </c>
      <c r="D410" s="18" t="s">
        <v>65</v>
      </c>
      <c r="E410" s="18" t="s">
        <v>75</v>
      </c>
      <c r="F410" s="21">
        <v>240</v>
      </c>
    </row>
    <row r="411" spans="2:6" x14ac:dyDescent="0.25">
      <c r="B411" s="27" t="s">
        <v>21</v>
      </c>
      <c r="C411" s="19">
        <f>40233+(3*365)</f>
        <v>41328</v>
      </c>
      <c r="D411" s="18" t="s">
        <v>73</v>
      </c>
      <c r="E411" s="18" t="s">
        <v>75</v>
      </c>
      <c r="F411" s="21">
        <v>120</v>
      </c>
    </row>
    <row r="412" spans="2:6" x14ac:dyDescent="0.25">
      <c r="B412" s="27" t="s">
        <v>9</v>
      </c>
      <c r="C412" s="19">
        <f>40518+(3*365)</f>
        <v>41613</v>
      </c>
      <c r="D412" s="18" t="s">
        <v>62</v>
      </c>
      <c r="E412" s="18" t="s">
        <v>64</v>
      </c>
      <c r="F412" s="21">
        <v>4304</v>
      </c>
    </row>
    <row r="413" spans="2:6" x14ac:dyDescent="0.25">
      <c r="B413" s="27" t="s">
        <v>10</v>
      </c>
      <c r="C413" s="19">
        <f>40984+(3*365)</f>
        <v>42079</v>
      </c>
      <c r="D413" s="18" t="s">
        <v>65</v>
      </c>
      <c r="E413" s="18" t="s">
        <v>72</v>
      </c>
      <c r="F413" s="21">
        <v>7263</v>
      </c>
    </row>
    <row r="414" spans="2:6" x14ac:dyDescent="0.25">
      <c r="B414" s="27" t="s">
        <v>9</v>
      </c>
      <c r="C414" s="19">
        <f>41159+(3*365)</f>
        <v>42254</v>
      </c>
      <c r="D414" s="18" t="s">
        <v>62</v>
      </c>
      <c r="E414" s="18" t="s">
        <v>75</v>
      </c>
      <c r="F414" s="21">
        <v>351</v>
      </c>
    </row>
    <row r="415" spans="2:6" x14ac:dyDescent="0.25">
      <c r="B415" s="27" t="s">
        <v>8</v>
      </c>
      <c r="C415" s="19">
        <f>40640+(3*365)</f>
        <v>41735</v>
      </c>
      <c r="D415" s="18" t="s">
        <v>77</v>
      </c>
      <c r="E415" s="18" t="s">
        <v>75</v>
      </c>
      <c r="F415" s="21">
        <v>512</v>
      </c>
    </row>
    <row r="416" spans="2:6" x14ac:dyDescent="0.25">
      <c r="B416" s="27" t="s">
        <v>8</v>
      </c>
      <c r="C416" s="19">
        <f>40154+(3*365)</f>
        <v>41249</v>
      </c>
      <c r="D416" s="18" t="s">
        <v>77</v>
      </c>
      <c r="E416" s="18" t="s">
        <v>59</v>
      </c>
      <c r="F416" s="21">
        <v>180</v>
      </c>
    </row>
    <row r="417" spans="2:6" x14ac:dyDescent="0.25">
      <c r="B417" s="27" t="s">
        <v>25</v>
      </c>
      <c r="C417" s="19">
        <f>39990+(3*365)</f>
        <v>41085</v>
      </c>
      <c r="D417" s="18" t="s">
        <v>78</v>
      </c>
      <c r="E417" s="18" t="s">
        <v>63</v>
      </c>
      <c r="F417" s="21">
        <v>518</v>
      </c>
    </row>
    <row r="418" spans="2:6" x14ac:dyDescent="0.25">
      <c r="B418" s="27" t="s">
        <v>11</v>
      </c>
      <c r="C418" s="19">
        <f>40744+(3*365)</f>
        <v>41839</v>
      </c>
      <c r="D418" s="18" t="s">
        <v>60</v>
      </c>
      <c r="E418" s="18" t="s">
        <v>72</v>
      </c>
      <c r="F418" s="21">
        <v>2496</v>
      </c>
    </row>
    <row r="419" spans="2:6" x14ac:dyDescent="0.25">
      <c r="B419" s="27" t="s">
        <v>10</v>
      </c>
      <c r="C419" s="19">
        <f>40450+(3*365)</f>
        <v>41545</v>
      </c>
      <c r="D419" s="18" t="s">
        <v>67</v>
      </c>
      <c r="E419" s="18" t="s">
        <v>72</v>
      </c>
      <c r="F419" s="21">
        <v>447</v>
      </c>
    </row>
    <row r="420" spans="2:6" x14ac:dyDescent="0.25">
      <c r="B420" s="27" t="s">
        <v>10</v>
      </c>
      <c r="C420" s="19">
        <f>41089+(3*365)</f>
        <v>42184</v>
      </c>
      <c r="D420" s="18" t="s">
        <v>67</v>
      </c>
      <c r="E420" s="18" t="s">
        <v>59</v>
      </c>
      <c r="F420" s="21">
        <v>222</v>
      </c>
    </row>
    <row r="421" spans="2:6" x14ac:dyDescent="0.25">
      <c r="B421" s="27" t="s">
        <v>11</v>
      </c>
      <c r="C421" s="19">
        <f>40384+(3*365)</f>
        <v>41479</v>
      </c>
      <c r="D421" s="18" t="s">
        <v>60</v>
      </c>
      <c r="E421" s="18" t="s">
        <v>59</v>
      </c>
      <c r="F421" s="21">
        <v>570</v>
      </c>
    </row>
    <row r="422" spans="2:6" x14ac:dyDescent="0.25">
      <c r="B422" s="27" t="s">
        <v>18</v>
      </c>
      <c r="C422" s="19">
        <f>40961+(3*365)</f>
        <v>42056</v>
      </c>
      <c r="D422" s="18" t="s">
        <v>71</v>
      </c>
      <c r="E422" s="18" t="s">
        <v>61</v>
      </c>
      <c r="F422" s="21">
        <v>672</v>
      </c>
    </row>
    <row r="423" spans="2:6" x14ac:dyDescent="0.25">
      <c r="B423" s="27" t="s">
        <v>10</v>
      </c>
      <c r="C423" s="19">
        <f>40106+(3*365)</f>
        <v>41201</v>
      </c>
      <c r="D423" s="18" t="s">
        <v>65</v>
      </c>
      <c r="E423" s="18" t="s">
        <v>63</v>
      </c>
      <c r="F423" s="21">
        <v>2176</v>
      </c>
    </row>
    <row r="424" spans="2:6" x14ac:dyDescent="0.25">
      <c r="B424" s="27" t="s">
        <v>18</v>
      </c>
      <c r="C424" s="19">
        <f>39903+(3*365)</f>
        <v>40998</v>
      </c>
      <c r="D424" s="18" t="s">
        <v>71</v>
      </c>
      <c r="E424" s="18" t="s">
        <v>61</v>
      </c>
      <c r="F424" s="21">
        <v>810</v>
      </c>
    </row>
    <row r="425" spans="2:6" x14ac:dyDescent="0.25">
      <c r="B425" s="27" t="s">
        <v>8</v>
      </c>
      <c r="C425" s="19">
        <f>39844+(3*365)</f>
        <v>40939</v>
      </c>
      <c r="D425" s="18" t="s">
        <v>81</v>
      </c>
      <c r="E425" s="18" t="s">
        <v>72</v>
      </c>
      <c r="F425" s="21">
        <v>1776</v>
      </c>
    </row>
    <row r="426" spans="2:6" x14ac:dyDescent="0.25">
      <c r="B426" s="27" t="s">
        <v>10</v>
      </c>
      <c r="C426" s="19">
        <f>41230+(3*365)</f>
        <v>42325</v>
      </c>
      <c r="D426" s="18" t="s">
        <v>65</v>
      </c>
      <c r="E426" s="18" t="s">
        <v>75</v>
      </c>
      <c r="F426" s="21">
        <v>102</v>
      </c>
    </row>
    <row r="427" spans="2:6" x14ac:dyDescent="0.25">
      <c r="B427" s="27" t="s">
        <v>21</v>
      </c>
      <c r="C427" s="19">
        <f>40840+(3*365)</f>
        <v>41935</v>
      </c>
      <c r="D427" s="18" t="s">
        <v>73</v>
      </c>
      <c r="E427" s="18" t="s">
        <v>61</v>
      </c>
      <c r="F427" s="21">
        <v>1917</v>
      </c>
    </row>
    <row r="428" spans="2:6" x14ac:dyDescent="0.25">
      <c r="B428" s="27" t="s">
        <v>21</v>
      </c>
      <c r="C428" s="19">
        <f>40618+(3*365)</f>
        <v>41713</v>
      </c>
      <c r="D428" s="18" t="s">
        <v>73</v>
      </c>
      <c r="E428" s="18" t="s">
        <v>66</v>
      </c>
      <c r="F428" s="21">
        <v>576</v>
      </c>
    </row>
    <row r="429" spans="2:6" x14ac:dyDescent="0.25">
      <c r="B429" s="27" t="s">
        <v>31</v>
      </c>
      <c r="C429" s="19">
        <f>41137+(3*365)</f>
        <v>42232</v>
      </c>
      <c r="D429" s="18" t="s">
        <v>76</v>
      </c>
      <c r="E429" s="18" t="s">
        <v>64</v>
      </c>
      <c r="F429" s="21">
        <v>1194</v>
      </c>
    </row>
    <row r="430" spans="2:6" x14ac:dyDescent="0.25">
      <c r="B430" s="27" t="s">
        <v>31</v>
      </c>
      <c r="C430" s="19">
        <f>40162+(3*365)</f>
        <v>41257</v>
      </c>
      <c r="D430" s="18" t="s">
        <v>76</v>
      </c>
      <c r="E430" s="18" t="s">
        <v>69</v>
      </c>
      <c r="F430" s="21">
        <v>1404</v>
      </c>
    </row>
    <row r="431" spans="2:6" x14ac:dyDescent="0.25">
      <c r="B431" s="27" t="s">
        <v>9</v>
      </c>
      <c r="C431" s="19">
        <f>39912+(3*365)</f>
        <v>41007</v>
      </c>
      <c r="D431" s="18" t="s">
        <v>62</v>
      </c>
      <c r="E431" s="18" t="s">
        <v>66</v>
      </c>
      <c r="F431" s="21">
        <v>1020</v>
      </c>
    </row>
    <row r="432" spans="2:6" x14ac:dyDescent="0.25">
      <c r="B432" s="27" t="s">
        <v>8</v>
      </c>
      <c r="C432" s="19">
        <f>40465+(3*365)</f>
        <v>41560</v>
      </c>
      <c r="D432" s="18" t="s">
        <v>77</v>
      </c>
      <c r="E432" s="18" t="s">
        <v>63</v>
      </c>
      <c r="F432" s="21">
        <v>1080</v>
      </c>
    </row>
    <row r="433" spans="2:6" x14ac:dyDescent="0.25">
      <c r="B433" s="27" t="s">
        <v>9</v>
      </c>
      <c r="C433" s="19">
        <f>40238+(3*365)</f>
        <v>41333</v>
      </c>
      <c r="D433" s="18" t="s">
        <v>80</v>
      </c>
      <c r="E433" s="18" t="s">
        <v>75</v>
      </c>
      <c r="F433" s="21">
        <v>196</v>
      </c>
    </row>
    <row r="434" spans="2:6" x14ac:dyDescent="0.25">
      <c r="B434" s="27" t="s">
        <v>10</v>
      </c>
      <c r="C434" s="19">
        <f>40700+(3*365)</f>
        <v>41795</v>
      </c>
      <c r="D434" s="18" t="s">
        <v>65</v>
      </c>
      <c r="E434" s="18" t="s">
        <v>66</v>
      </c>
      <c r="F434" s="21">
        <v>270</v>
      </c>
    </row>
    <row r="435" spans="2:6" x14ac:dyDescent="0.25">
      <c r="B435" s="27" t="s">
        <v>31</v>
      </c>
      <c r="C435" s="19">
        <f>41185+(3*365)</f>
        <v>42280</v>
      </c>
      <c r="D435" s="18" t="s">
        <v>70</v>
      </c>
      <c r="E435" s="18" t="s">
        <v>61</v>
      </c>
      <c r="F435" s="21">
        <v>288</v>
      </c>
    </row>
    <row r="436" spans="2:6" x14ac:dyDescent="0.25">
      <c r="B436" s="27" t="s">
        <v>9</v>
      </c>
      <c r="C436" s="19">
        <f>39857+(3*365)</f>
        <v>40952</v>
      </c>
      <c r="D436" s="18" t="s">
        <v>80</v>
      </c>
      <c r="E436" s="18" t="s">
        <v>75</v>
      </c>
      <c r="F436" s="21">
        <v>256</v>
      </c>
    </row>
    <row r="437" spans="2:6" x14ac:dyDescent="0.25">
      <c r="B437" s="27" t="s">
        <v>31</v>
      </c>
      <c r="C437" s="19">
        <f>40465+(3*365)</f>
        <v>41560</v>
      </c>
      <c r="D437" s="18" t="s">
        <v>70</v>
      </c>
      <c r="E437" s="18" t="s">
        <v>61</v>
      </c>
      <c r="F437" s="21">
        <v>666</v>
      </c>
    </row>
    <row r="438" spans="2:6" x14ac:dyDescent="0.25">
      <c r="B438" s="27" t="s">
        <v>10</v>
      </c>
      <c r="C438" s="19">
        <f>40993+(3*365)</f>
        <v>42088</v>
      </c>
      <c r="D438" s="18" t="s">
        <v>67</v>
      </c>
      <c r="E438" s="18" t="s">
        <v>66</v>
      </c>
      <c r="F438" s="21">
        <v>1617</v>
      </c>
    </row>
    <row r="439" spans="2:6" x14ac:dyDescent="0.25">
      <c r="B439" s="27" t="s">
        <v>10</v>
      </c>
      <c r="C439" s="19">
        <f>40982+(3*365)</f>
        <v>42077</v>
      </c>
      <c r="D439" s="18" t="s">
        <v>65</v>
      </c>
      <c r="E439" s="18" t="s">
        <v>66</v>
      </c>
      <c r="F439" s="21">
        <v>540</v>
      </c>
    </row>
    <row r="440" spans="2:6" x14ac:dyDescent="0.25">
      <c r="B440" s="27" t="s">
        <v>25</v>
      </c>
      <c r="C440" s="19">
        <f>41057+(3*365)</f>
        <v>42152</v>
      </c>
      <c r="D440" s="18" t="s">
        <v>79</v>
      </c>
      <c r="E440" s="18" t="s">
        <v>63</v>
      </c>
      <c r="F440" s="21">
        <v>868</v>
      </c>
    </row>
    <row r="441" spans="2:6" x14ac:dyDescent="0.25">
      <c r="B441" s="27" t="s">
        <v>25</v>
      </c>
      <c r="C441" s="19">
        <f>39852+(3*365)</f>
        <v>40947</v>
      </c>
      <c r="D441" s="18" t="s">
        <v>78</v>
      </c>
      <c r="E441" s="18" t="s">
        <v>72</v>
      </c>
      <c r="F441" s="21">
        <v>240</v>
      </c>
    </row>
    <row r="442" spans="2:6" x14ac:dyDescent="0.25">
      <c r="B442" s="27" t="s">
        <v>25</v>
      </c>
      <c r="C442" s="19">
        <f>40675+(3*365)</f>
        <v>41770</v>
      </c>
      <c r="D442" s="18" t="s">
        <v>78</v>
      </c>
      <c r="E442" s="18" t="s">
        <v>59</v>
      </c>
      <c r="F442" s="21">
        <v>512</v>
      </c>
    </row>
    <row r="443" spans="2:6" x14ac:dyDescent="0.25">
      <c r="B443" s="27" t="s">
        <v>25</v>
      </c>
      <c r="C443" s="19">
        <f>41206+(3*365)</f>
        <v>42301</v>
      </c>
      <c r="D443" s="18" t="s">
        <v>79</v>
      </c>
      <c r="E443" s="18" t="s">
        <v>72</v>
      </c>
      <c r="F443" s="21">
        <v>484</v>
      </c>
    </row>
    <row r="444" spans="2:6" x14ac:dyDescent="0.25">
      <c r="B444" s="27" t="s">
        <v>31</v>
      </c>
      <c r="C444" s="19">
        <f>40675+(3*365)</f>
        <v>41770</v>
      </c>
      <c r="D444" s="18" t="s">
        <v>70</v>
      </c>
      <c r="E444" s="18" t="s">
        <v>63</v>
      </c>
      <c r="F444" s="21">
        <v>918</v>
      </c>
    </row>
    <row r="445" spans="2:6" x14ac:dyDescent="0.25">
      <c r="B445" s="27" t="s">
        <v>10</v>
      </c>
      <c r="C445" s="19">
        <f>40629+(3*365)</f>
        <v>41724</v>
      </c>
      <c r="D445" s="18" t="s">
        <v>65</v>
      </c>
      <c r="E445" s="18" t="s">
        <v>63</v>
      </c>
      <c r="F445" s="21">
        <v>680</v>
      </c>
    </row>
    <row r="446" spans="2:6" x14ac:dyDescent="0.25">
      <c r="B446" s="27" t="s">
        <v>25</v>
      </c>
      <c r="C446" s="19">
        <f>40182+(3*365)</f>
        <v>41277</v>
      </c>
      <c r="D446" s="18" t="s">
        <v>79</v>
      </c>
      <c r="E446" s="18" t="s">
        <v>63</v>
      </c>
      <c r="F446" s="21">
        <v>1656</v>
      </c>
    </row>
    <row r="447" spans="2:6" x14ac:dyDescent="0.25">
      <c r="B447" s="27" t="s">
        <v>11</v>
      </c>
      <c r="C447" s="19">
        <f>40174+(3*365)</f>
        <v>41269</v>
      </c>
      <c r="D447" s="18" t="s">
        <v>74</v>
      </c>
      <c r="E447" s="18" t="s">
        <v>61</v>
      </c>
      <c r="F447" s="21">
        <v>186</v>
      </c>
    </row>
    <row r="448" spans="2:6" x14ac:dyDescent="0.25">
      <c r="B448" s="27" t="s">
        <v>11</v>
      </c>
      <c r="C448" s="19">
        <f>40940+(3*365)</f>
        <v>42035</v>
      </c>
      <c r="D448" s="18" t="s">
        <v>60</v>
      </c>
      <c r="E448" s="18" t="s">
        <v>61</v>
      </c>
      <c r="F448" s="21">
        <v>1152</v>
      </c>
    </row>
    <row r="449" spans="2:6" x14ac:dyDescent="0.25">
      <c r="B449" s="27" t="s">
        <v>25</v>
      </c>
      <c r="C449" s="19">
        <f>40381+(3*365)</f>
        <v>41476</v>
      </c>
      <c r="D449" s="18" t="s">
        <v>78</v>
      </c>
      <c r="E449" s="18" t="s">
        <v>75</v>
      </c>
      <c r="F449" s="21">
        <v>132</v>
      </c>
    </row>
    <row r="450" spans="2:6" x14ac:dyDescent="0.25">
      <c r="B450" s="27" t="s">
        <v>9</v>
      </c>
      <c r="C450" s="19">
        <f>41010+(3*365)</f>
        <v>42105</v>
      </c>
      <c r="D450" s="18" t="s">
        <v>80</v>
      </c>
      <c r="E450" s="18" t="s">
        <v>59</v>
      </c>
      <c r="F450" s="21">
        <v>130</v>
      </c>
    </row>
    <row r="451" spans="2:6" x14ac:dyDescent="0.25">
      <c r="B451" s="27" t="s">
        <v>25</v>
      </c>
      <c r="C451" s="19">
        <f>40208+(3*365)</f>
        <v>41303</v>
      </c>
      <c r="D451" s="18" t="s">
        <v>78</v>
      </c>
      <c r="E451" s="18" t="s">
        <v>69</v>
      </c>
      <c r="F451" s="21">
        <v>4158</v>
      </c>
    </row>
    <row r="452" spans="2:6" x14ac:dyDescent="0.25">
      <c r="B452" s="27" t="s">
        <v>21</v>
      </c>
      <c r="C452" s="19">
        <f>40117+(3*365)</f>
        <v>41212</v>
      </c>
      <c r="D452" s="18" t="s">
        <v>58</v>
      </c>
      <c r="E452" s="18" t="s">
        <v>69</v>
      </c>
      <c r="F452" s="21">
        <v>1640</v>
      </c>
    </row>
    <row r="453" spans="2:6" x14ac:dyDescent="0.25">
      <c r="B453" s="27" t="s">
        <v>10</v>
      </c>
      <c r="C453" s="19">
        <f>40842+(3*365)</f>
        <v>41937</v>
      </c>
      <c r="D453" s="18" t="s">
        <v>65</v>
      </c>
      <c r="E453" s="18" t="s">
        <v>63</v>
      </c>
      <c r="F453" s="21">
        <v>40</v>
      </c>
    </row>
    <row r="454" spans="2:6" x14ac:dyDescent="0.25">
      <c r="B454" s="27" t="s">
        <v>10</v>
      </c>
      <c r="C454" s="19">
        <f>40735+(3*365)</f>
        <v>41830</v>
      </c>
      <c r="D454" s="18" t="s">
        <v>65</v>
      </c>
      <c r="E454" s="18" t="s">
        <v>63</v>
      </c>
      <c r="F454" s="21">
        <v>528</v>
      </c>
    </row>
    <row r="455" spans="2:6" x14ac:dyDescent="0.25">
      <c r="B455" s="27" t="s">
        <v>11</v>
      </c>
      <c r="C455" s="19">
        <f>40855+(3*365)</f>
        <v>41950</v>
      </c>
      <c r="D455" s="18" t="s">
        <v>60</v>
      </c>
      <c r="E455" s="18" t="s">
        <v>75</v>
      </c>
      <c r="F455" s="21">
        <v>78</v>
      </c>
    </row>
    <row r="456" spans="2:6" x14ac:dyDescent="0.25">
      <c r="B456" s="27" t="s">
        <v>11</v>
      </c>
      <c r="C456" s="19">
        <f>40759+(3*365)</f>
        <v>41854</v>
      </c>
      <c r="D456" s="18" t="s">
        <v>60</v>
      </c>
      <c r="E456" s="18" t="s">
        <v>72</v>
      </c>
      <c r="F456" s="21">
        <v>2169</v>
      </c>
    </row>
    <row r="457" spans="2:6" x14ac:dyDescent="0.25">
      <c r="B457" s="27" t="s">
        <v>21</v>
      </c>
      <c r="C457" s="19">
        <f>40252+(3*365)</f>
        <v>41347</v>
      </c>
      <c r="D457" s="18" t="s">
        <v>73</v>
      </c>
      <c r="E457" s="18" t="s">
        <v>64</v>
      </c>
      <c r="F457" s="21">
        <v>6136</v>
      </c>
    </row>
    <row r="458" spans="2:6" x14ac:dyDescent="0.25">
      <c r="B458" s="27" t="s">
        <v>21</v>
      </c>
      <c r="C458" s="19">
        <f>41039+(3*365)</f>
        <v>42134</v>
      </c>
      <c r="D458" s="18" t="s">
        <v>73</v>
      </c>
      <c r="E458" s="18" t="s">
        <v>69</v>
      </c>
      <c r="F458" s="21">
        <v>3220</v>
      </c>
    </row>
    <row r="459" spans="2:6" x14ac:dyDescent="0.25">
      <c r="B459" s="27" t="s">
        <v>8</v>
      </c>
      <c r="C459" s="19">
        <f>40917+(3*365)</f>
        <v>42012</v>
      </c>
      <c r="D459" s="18" t="s">
        <v>81</v>
      </c>
      <c r="E459" s="18" t="s">
        <v>61</v>
      </c>
      <c r="F459" s="21">
        <v>1152</v>
      </c>
    </row>
    <row r="460" spans="2:6" x14ac:dyDescent="0.25">
      <c r="B460" s="27" t="s">
        <v>21</v>
      </c>
      <c r="C460" s="19">
        <f>41043+(3*365)</f>
        <v>42138</v>
      </c>
      <c r="D460" s="18" t="s">
        <v>58</v>
      </c>
      <c r="E460" s="18" t="s">
        <v>75</v>
      </c>
      <c r="F460" s="21">
        <v>256</v>
      </c>
    </row>
    <row r="461" spans="2:6" x14ac:dyDescent="0.25">
      <c r="B461" s="27" t="s">
        <v>21</v>
      </c>
      <c r="C461" s="19">
        <f>40464+(3*365)</f>
        <v>41559</v>
      </c>
      <c r="D461" s="18" t="s">
        <v>73</v>
      </c>
      <c r="E461" s="18" t="s">
        <v>69</v>
      </c>
      <c r="F461" s="21">
        <v>2682</v>
      </c>
    </row>
    <row r="462" spans="2:6" x14ac:dyDescent="0.25">
      <c r="B462" s="27" t="s">
        <v>25</v>
      </c>
      <c r="C462" s="19">
        <f>40803+(3*365)</f>
        <v>41898</v>
      </c>
      <c r="D462" s="18" t="s">
        <v>79</v>
      </c>
      <c r="E462" s="18" t="s">
        <v>61</v>
      </c>
      <c r="F462" s="21">
        <v>624</v>
      </c>
    </row>
    <row r="463" spans="2:6" x14ac:dyDescent="0.25">
      <c r="B463" s="27" t="s">
        <v>11</v>
      </c>
      <c r="C463" s="19">
        <f>40495+(3*365)</f>
        <v>41590</v>
      </c>
      <c r="D463" s="18" t="s">
        <v>74</v>
      </c>
      <c r="E463" s="18" t="s">
        <v>66</v>
      </c>
      <c r="F463" s="21">
        <v>522</v>
      </c>
    </row>
    <row r="464" spans="2:6" x14ac:dyDescent="0.25">
      <c r="B464" s="27" t="s">
        <v>8</v>
      </c>
      <c r="C464" s="19">
        <f>40703+(3*365)</f>
        <v>41798</v>
      </c>
      <c r="D464" s="18" t="s">
        <v>81</v>
      </c>
      <c r="E464" s="18" t="s">
        <v>61</v>
      </c>
      <c r="F464" s="21">
        <v>688</v>
      </c>
    </row>
    <row r="465" spans="2:6" x14ac:dyDescent="0.25">
      <c r="B465" s="27" t="s">
        <v>11</v>
      </c>
      <c r="C465" s="19">
        <f>41004+(3*365)</f>
        <v>42099</v>
      </c>
      <c r="D465" s="18" t="s">
        <v>74</v>
      </c>
      <c r="E465" s="18" t="s">
        <v>59</v>
      </c>
      <c r="F465" s="21">
        <v>560</v>
      </c>
    </row>
    <row r="466" spans="2:6" x14ac:dyDescent="0.25">
      <c r="B466" s="27" t="s">
        <v>21</v>
      </c>
      <c r="C466" s="19">
        <f>40780+(3*365)</f>
        <v>41875</v>
      </c>
      <c r="D466" s="18" t="s">
        <v>58</v>
      </c>
      <c r="E466" s="18" t="s">
        <v>69</v>
      </c>
      <c r="F466" s="21">
        <v>5481</v>
      </c>
    </row>
    <row r="467" spans="2:6" x14ac:dyDescent="0.25">
      <c r="B467" s="27" t="s">
        <v>25</v>
      </c>
      <c r="C467" s="19">
        <f>41255+(3*365)</f>
        <v>42350</v>
      </c>
      <c r="D467" s="18" t="s">
        <v>79</v>
      </c>
      <c r="E467" s="18" t="s">
        <v>72</v>
      </c>
      <c r="F467" s="21">
        <v>3798</v>
      </c>
    </row>
    <row r="468" spans="2:6" x14ac:dyDescent="0.25">
      <c r="B468" s="27" t="s">
        <v>8</v>
      </c>
      <c r="C468" s="19">
        <f>40863+(3*365)</f>
        <v>41958</v>
      </c>
      <c r="D468" s="18" t="s">
        <v>81</v>
      </c>
      <c r="E468" s="18" t="s">
        <v>59</v>
      </c>
      <c r="F468" s="21">
        <v>740</v>
      </c>
    </row>
    <row r="469" spans="2:6" x14ac:dyDescent="0.25">
      <c r="B469" s="27" t="s">
        <v>18</v>
      </c>
      <c r="C469" s="19">
        <f>40461+(3*365)</f>
        <v>41556</v>
      </c>
      <c r="D469" s="18" t="s">
        <v>68</v>
      </c>
      <c r="E469" s="18" t="s">
        <v>72</v>
      </c>
      <c r="F469" s="21">
        <v>2964</v>
      </c>
    </row>
    <row r="470" spans="2:6" x14ac:dyDescent="0.25">
      <c r="B470" s="27" t="s">
        <v>21</v>
      </c>
      <c r="C470" s="19">
        <f>41178+(3*365)</f>
        <v>42273</v>
      </c>
      <c r="D470" s="18" t="s">
        <v>73</v>
      </c>
      <c r="E470" s="18" t="s">
        <v>75</v>
      </c>
      <c r="F470" s="21">
        <v>576</v>
      </c>
    </row>
    <row r="471" spans="2:6" x14ac:dyDescent="0.25">
      <c r="B471" s="27" t="s">
        <v>8</v>
      </c>
      <c r="C471" s="19">
        <f>39833+(3*365)</f>
        <v>40928</v>
      </c>
      <c r="D471" s="18" t="s">
        <v>81</v>
      </c>
      <c r="E471" s="18" t="s">
        <v>72</v>
      </c>
      <c r="F471" s="21">
        <v>786</v>
      </c>
    </row>
    <row r="472" spans="2:6" x14ac:dyDescent="0.25">
      <c r="B472" s="27" t="s">
        <v>9</v>
      </c>
      <c r="C472" s="19">
        <f>40974+(3*365)</f>
        <v>42069</v>
      </c>
      <c r="D472" s="18" t="s">
        <v>80</v>
      </c>
      <c r="E472" s="18" t="s">
        <v>75</v>
      </c>
      <c r="F472" s="21">
        <v>72</v>
      </c>
    </row>
    <row r="473" spans="2:6" x14ac:dyDescent="0.25">
      <c r="B473" s="27" t="s">
        <v>8</v>
      </c>
      <c r="C473" s="19">
        <f>40952+(3*365)</f>
        <v>42047</v>
      </c>
      <c r="D473" s="18" t="s">
        <v>81</v>
      </c>
      <c r="E473" s="18" t="s">
        <v>59</v>
      </c>
      <c r="F473" s="21">
        <v>700</v>
      </c>
    </row>
    <row r="474" spans="2:6" x14ac:dyDescent="0.25">
      <c r="B474" s="27" t="s">
        <v>9</v>
      </c>
      <c r="C474" s="19">
        <f>40329+(3*365)</f>
        <v>41424</v>
      </c>
      <c r="D474" s="18" t="s">
        <v>62</v>
      </c>
      <c r="E474" s="18" t="s">
        <v>63</v>
      </c>
      <c r="F474" s="21">
        <v>84</v>
      </c>
    </row>
    <row r="475" spans="2:6" x14ac:dyDescent="0.25">
      <c r="B475" s="27" t="s">
        <v>11</v>
      </c>
      <c r="C475" s="19">
        <f>40919+(3*365)</f>
        <v>42014</v>
      </c>
      <c r="D475" s="18" t="s">
        <v>60</v>
      </c>
      <c r="E475" s="18" t="s">
        <v>66</v>
      </c>
      <c r="F475" s="21">
        <v>2520</v>
      </c>
    </row>
    <row r="476" spans="2:6" x14ac:dyDescent="0.25">
      <c r="B476" s="27" t="s">
        <v>21</v>
      </c>
      <c r="C476" s="19">
        <f>40620+(3*365)</f>
        <v>41715</v>
      </c>
      <c r="D476" s="18" t="s">
        <v>73</v>
      </c>
      <c r="E476" s="18" t="s">
        <v>64</v>
      </c>
      <c r="F476" s="21">
        <v>5235</v>
      </c>
    </row>
    <row r="477" spans="2:6" x14ac:dyDescent="0.25">
      <c r="B477" s="27" t="s">
        <v>21</v>
      </c>
      <c r="C477" s="19">
        <f>40569+(3*365)</f>
        <v>41664</v>
      </c>
      <c r="D477" s="18" t="s">
        <v>58</v>
      </c>
      <c r="E477" s="18" t="s">
        <v>59</v>
      </c>
      <c r="F477" s="21">
        <v>756</v>
      </c>
    </row>
    <row r="478" spans="2:6" x14ac:dyDescent="0.25">
      <c r="B478" s="27" t="s">
        <v>8</v>
      </c>
      <c r="C478" s="19">
        <f>40106+(3*365)</f>
        <v>41201</v>
      </c>
      <c r="D478" s="18" t="s">
        <v>81</v>
      </c>
      <c r="E478" s="18" t="s">
        <v>69</v>
      </c>
      <c r="F478" s="21">
        <v>3528</v>
      </c>
    </row>
    <row r="479" spans="2:6" x14ac:dyDescent="0.25">
      <c r="B479" s="27" t="s">
        <v>31</v>
      </c>
      <c r="C479" s="19">
        <f>41126+(3*365)</f>
        <v>42221</v>
      </c>
      <c r="D479" s="18" t="s">
        <v>70</v>
      </c>
      <c r="E479" s="18" t="s">
        <v>59</v>
      </c>
      <c r="F479" s="21">
        <v>252</v>
      </c>
    </row>
    <row r="480" spans="2:6" x14ac:dyDescent="0.25">
      <c r="B480" s="27" t="s">
        <v>10</v>
      </c>
      <c r="C480" s="19">
        <f>40148+(3*365)</f>
        <v>41243</v>
      </c>
      <c r="D480" s="18" t="s">
        <v>65</v>
      </c>
      <c r="E480" s="18" t="s">
        <v>69</v>
      </c>
      <c r="F480" s="21">
        <v>2496</v>
      </c>
    </row>
    <row r="481" spans="2:6" x14ac:dyDescent="0.25">
      <c r="B481" s="27" t="s">
        <v>31</v>
      </c>
      <c r="C481" s="19">
        <f>41158+(3*365)</f>
        <v>42253</v>
      </c>
      <c r="D481" s="18" t="s">
        <v>70</v>
      </c>
      <c r="E481" s="18" t="s">
        <v>61</v>
      </c>
      <c r="F481" s="21">
        <v>675</v>
      </c>
    </row>
    <row r="482" spans="2:6" x14ac:dyDescent="0.25">
      <c r="B482" s="27" t="s">
        <v>9</v>
      </c>
      <c r="C482" s="19">
        <f>40073+(3*365)</f>
        <v>41168</v>
      </c>
      <c r="D482" s="18" t="s">
        <v>80</v>
      </c>
      <c r="E482" s="18" t="s">
        <v>75</v>
      </c>
      <c r="F482" s="21">
        <v>522</v>
      </c>
    </row>
    <row r="483" spans="2:6" x14ac:dyDescent="0.25">
      <c r="B483" s="27" t="s">
        <v>11</v>
      </c>
      <c r="C483" s="19">
        <f>40664+(3*365)</f>
        <v>41759</v>
      </c>
      <c r="D483" s="18" t="s">
        <v>60</v>
      </c>
      <c r="E483" s="18" t="s">
        <v>61</v>
      </c>
      <c r="F483" s="21">
        <v>138</v>
      </c>
    </row>
    <row r="484" spans="2:6" x14ac:dyDescent="0.25">
      <c r="B484" s="27" t="s">
        <v>21</v>
      </c>
      <c r="C484" s="19">
        <f>40366+(3*365)</f>
        <v>41461</v>
      </c>
      <c r="D484" s="18" t="s">
        <v>58</v>
      </c>
      <c r="E484" s="18" t="s">
        <v>75</v>
      </c>
      <c r="F484" s="21">
        <v>396</v>
      </c>
    </row>
    <row r="485" spans="2:6" x14ac:dyDescent="0.25">
      <c r="B485" s="27" t="s">
        <v>25</v>
      </c>
      <c r="C485" s="19">
        <f>39902+(3*365)</f>
        <v>40997</v>
      </c>
      <c r="D485" s="18" t="s">
        <v>78</v>
      </c>
      <c r="E485" s="18" t="s">
        <v>72</v>
      </c>
      <c r="F485" s="21">
        <v>2492</v>
      </c>
    </row>
    <row r="486" spans="2:6" x14ac:dyDescent="0.25">
      <c r="B486" s="27" t="s">
        <v>11</v>
      </c>
      <c r="C486" s="19">
        <f>40626+(3*365)</f>
        <v>41721</v>
      </c>
      <c r="D486" s="18" t="s">
        <v>60</v>
      </c>
      <c r="E486" s="18" t="s">
        <v>61</v>
      </c>
      <c r="F486" s="21">
        <v>240</v>
      </c>
    </row>
    <row r="487" spans="2:6" x14ac:dyDescent="0.25">
      <c r="B487" s="27" t="s">
        <v>21</v>
      </c>
      <c r="C487" s="19">
        <f>40243+(3*365)</f>
        <v>41338</v>
      </c>
      <c r="D487" s="18" t="s">
        <v>58</v>
      </c>
      <c r="E487" s="18" t="s">
        <v>64</v>
      </c>
      <c r="F487" s="21">
        <v>718</v>
      </c>
    </row>
    <row r="488" spans="2:6" x14ac:dyDescent="0.25">
      <c r="B488" s="27" t="s">
        <v>8</v>
      </c>
      <c r="C488" s="19">
        <f>40098+(3*365)</f>
        <v>41193</v>
      </c>
      <c r="D488" s="18" t="s">
        <v>81</v>
      </c>
      <c r="E488" s="18" t="s">
        <v>75</v>
      </c>
      <c r="F488" s="21">
        <v>243</v>
      </c>
    </row>
    <row r="489" spans="2:6" x14ac:dyDescent="0.25">
      <c r="B489" s="27" t="s">
        <v>25</v>
      </c>
      <c r="C489" s="19">
        <f>40988+(3*365)</f>
        <v>42083</v>
      </c>
      <c r="D489" s="18" t="s">
        <v>78</v>
      </c>
      <c r="E489" s="18" t="s">
        <v>66</v>
      </c>
      <c r="F489" s="21">
        <v>552</v>
      </c>
    </row>
    <row r="490" spans="2:6" x14ac:dyDescent="0.25">
      <c r="B490" s="27" t="s">
        <v>9</v>
      </c>
      <c r="C490" s="19">
        <f>40639+(3*365)</f>
        <v>41734</v>
      </c>
      <c r="D490" s="18" t="s">
        <v>62</v>
      </c>
      <c r="E490" s="18" t="s">
        <v>59</v>
      </c>
      <c r="F490" s="21">
        <v>528</v>
      </c>
    </row>
    <row r="491" spans="2:6" x14ac:dyDescent="0.25">
      <c r="B491" s="27" t="s">
        <v>10</v>
      </c>
      <c r="C491" s="19">
        <f>39965+(3*365)</f>
        <v>41060</v>
      </c>
      <c r="D491" s="18" t="s">
        <v>67</v>
      </c>
      <c r="E491" s="18" t="s">
        <v>75</v>
      </c>
      <c r="F491" s="21">
        <v>160</v>
      </c>
    </row>
    <row r="492" spans="2:6" x14ac:dyDescent="0.25">
      <c r="B492" s="27" t="s">
        <v>25</v>
      </c>
      <c r="C492" s="19">
        <f>41167+(3*365)</f>
        <v>42262</v>
      </c>
      <c r="D492" s="18" t="s">
        <v>79</v>
      </c>
      <c r="E492" s="18" t="s">
        <v>63</v>
      </c>
      <c r="F492" s="21">
        <v>60</v>
      </c>
    </row>
    <row r="493" spans="2:6" x14ac:dyDescent="0.25">
      <c r="B493" s="27" t="s">
        <v>25</v>
      </c>
      <c r="C493" s="19">
        <f>39953+(3*365)</f>
        <v>41048</v>
      </c>
      <c r="D493" s="18" t="s">
        <v>79</v>
      </c>
      <c r="E493" s="18" t="s">
        <v>59</v>
      </c>
      <c r="F493" s="21">
        <v>270</v>
      </c>
    </row>
    <row r="494" spans="2:6" x14ac:dyDescent="0.25">
      <c r="B494" s="27" t="s">
        <v>9</v>
      </c>
      <c r="C494" s="19">
        <f>39921+(3*365)</f>
        <v>41016</v>
      </c>
      <c r="D494" s="18" t="s">
        <v>80</v>
      </c>
      <c r="E494" s="18" t="s">
        <v>75</v>
      </c>
      <c r="F494" s="21">
        <v>180</v>
      </c>
    </row>
    <row r="495" spans="2:6" x14ac:dyDescent="0.25">
      <c r="B495" s="27" t="s">
        <v>10</v>
      </c>
      <c r="C495" s="19">
        <f>41088+(3*365)</f>
        <v>42183</v>
      </c>
      <c r="D495" s="18" t="s">
        <v>67</v>
      </c>
      <c r="E495" s="18" t="s">
        <v>75</v>
      </c>
      <c r="F495" s="21">
        <v>798</v>
      </c>
    </row>
    <row r="496" spans="2:6" x14ac:dyDescent="0.25">
      <c r="B496" s="27" t="s">
        <v>25</v>
      </c>
      <c r="C496" s="19">
        <f>40714+(3*365)</f>
        <v>41809</v>
      </c>
      <c r="D496" s="18" t="s">
        <v>78</v>
      </c>
      <c r="E496" s="18" t="s">
        <v>72</v>
      </c>
      <c r="F496" s="21">
        <v>256</v>
      </c>
    </row>
    <row r="497" spans="2:6" x14ac:dyDescent="0.25">
      <c r="B497" s="27" t="s">
        <v>18</v>
      </c>
      <c r="C497" s="19">
        <f>40338+(3*365)</f>
        <v>41433</v>
      </c>
      <c r="D497" s="18" t="s">
        <v>71</v>
      </c>
      <c r="E497" s="18" t="s">
        <v>59</v>
      </c>
      <c r="F497" s="21">
        <v>816</v>
      </c>
    </row>
    <row r="498" spans="2:6" x14ac:dyDescent="0.25">
      <c r="B498" s="27" t="s">
        <v>11</v>
      </c>
      <c r="C498" s="19">
        <f>39904+(3*365)</f>
        <v>40999</v>
      </c>
      <c r="D498" s="18" t="s">
        <v>60</v>
      </c>
      <c r="E498" s="18" t="s">
        <v>63</v>
      </c>
      <c r="F498" s="21">
        <v>774</v>
      </c>
    </row>
    <row r="499" spans="2:6" x14ac:dyDescent="0.25">
      <c r="B499" s="27" t="s">
        <v>25</v>
      </c>
      <c r="C499" s="19">
        <f>41047+(3*365)</f>
        <v>42142</v>
      </c>
      <c r="D499" s="18" t="s">
        <v>78</v>
      </c>
      <c r="E499" s="18" t="s">
        <v>63</v>
      </c>
      <c r="F499" s="21">
        <v>288</v>
      </c>
    </row>
    <row r="500" spans="2:6" x14ac:dyDescent="0.25">
      <c r="B500" s="27" t="s">
        <v>25</v>
      </c>
      <c r="C500" s="19">
        <f>40609+(3*365)</f>
        <v>41704</v>
      </c>
      <c r="D500" s="18" t="s">
        <v>79</v>
      </c>
      <c r="E500" s="18" t="s">
        <v>72</v>
      </c>
      <c r="F500" s="21">
        <v>604</v>
      </c>
    </row>
    <row r="501" spans="2:6" x14ac:dyDescent="0.25">
      <c r="B501" s="27" t="s">
        <v>9</v>
      </c>
      <c r="C501" s="19">
        <f>40272+(3*365)</f>
        <v>41367</v>
      </c>
      <c r="D501" s="18" t="s">
        <v>62</v>
      </c>
      <c r="E501" s="18" t="s">
        <v>61</v>
      </c>
      <c r="F501" s="21">
        <v>224</v>
      </c>
    </row>
    <row r="502" spans="2:6" x14ac:dyDescent="0.25">
      <c r="B502" s="27" t="s">
        <v>11</v>
      </c>
      <c r="C502" s="19">
        <f>41020+(3*365)</f>
        <v>42115</v>
      </c>
      <c r="D502" s="18" t="s">
        <v>74</v>
      </c>
      <c r="E502" s="18" t="s">
        <v>69</v>
      </c>
      <c r="F502" s="21">
        <v>7308</v>
      </c>
    </row>
    <row r="503" spans="2:6" x14ac:dyDescent="0.25">
      <c r="B503" s="27" t="s">
        <v>18</v>
      </c>
      <c r="C503" s="19">
        <f>41261+(3*365)</f>
        <v>42356</v>
      </c>
      <c r="D503" s="18" t="s">
        <v>68</v>
      </c>
      <c r="E503" s="18" t="s">
        <v>75</v>
      </c>
      <c r="F503" s="21">
        <v>744</v>
      </c>
    </row>
    <row r="504" spans="2:6" x14ac:dyDescent="0.25">
      <c r="B504" s="27" t="s">
        <v>25</v>
      </c>
      <c r="C504" s="19">
        <f>40357+(3*365)</f>
        <v>41452</v>
      </c>
      <c r="D504" s="18" t="s">
        <v>79</v>
      </c>
      <c r="E504" s="18" t="s">
        <v>63</v>
      </c>
      <c r="F504" s="21">
        <v>297</v>
      </c>
    </row>
    <row r="505" spans="2:6" x14ac:dyDescent="0.25">
      <c r="B505" s="27" t="s">
        <v>18</v>
      </c>
      <c r="C505" s="19">
        <f>40250+(3*365)</f>
        <v>41345</v>
      </c>
      <c r="D505" s="18" t="s">
        <v>68</v>
      </c>
      <c r="E505" s="18" t="s">
        <v>66</v>
      </c>
      <c r="F505" s="21">
        <v>99</v>
      </c>
    </row>
    <row r="506" spans="2:6" x14ac:dyDescent="0.25">
      <c r="B506" s="27" t="s">
        <v>10</v>
      </c>
      <c r="C506" s="19">
        <f>40992+(3*365)</f>
        <v>42087</v>
      </c>
      <c r="D506" s="18" t="s">
        <v>67</v>
      </c>
      <c r="E506" s="18" t="s">
        <v>69</v>
      </c>
      <c r="F506" s="21">
        <v>192</v>
      </c>
    </row>
    <row r="507" spans="2:6" x14ac:dyDescent="0.25">
      <c r="B507" s="27" t="s">
        <v>9</v>
      </c>
      <c r="C507" s="19">
        <f>40570+(3*365)</f>
        <v>41665</v>
      </c>
      <c r="D507" s="18" t="s">
        <v>80</v>
      </c>
      <c r="E507" s="18" t="s">
        <v>59</v>
      </c>
      <c r="F507" s="21">
        <v>225</v>
      </c>
    </row>
    <row r="508" spans="2:6" x14ac:dyDescent="0.25">
      <c r="B508" s="27" t="s">
        <v>21</v>
      </c>
      <c r="C508" s="19">
        <f>39858+(3*365)</f>
        <v>40953</v>
      </c>
      <c r="D508" s="18" t="s">
        <v>58</v>
      </c>
      <c r="E508" s="18" t="s">
        <v>66</v>
      </c>
      <c r="F508" s="21">
        <v>246</v>
      </c>
    </row>
    <row r="509" spans="2:6" x14ac:dyDescent="0.25">
      <c r="B509" s="27" t="s">
        <v>31</v>
      </c>
      <c r="C509" s="19">
        <f>40051+(3*365)</f>
        <v>41146</v>
      </c>
      <c r="D509" s="18" t="s">
        <v>76</v>
      </c>
      <c r="E509" s="18" t="s">
        <v>61</v>
      </c>
      <c r="F509" s="21">
        <v>312</v>
      </c>
    </row>
    <row r="510" spans="2:6" x14ac:dyDescent="0.25">
      <c r="B510" s="27" t="s">
        <v>31</v>
      </c>
      <c r="C510" s="19">
        <f>40949+(3*365)</f>
        <v>42044</v>
      </c>
      <c r="D510" s="18" t="s">
        <v>76</v>
      </c>
      <c r="E510" s="18" t="s">
        <v>66</v>
      </c>
      <c r="F510" s="21">
        <v>213</v>
      </c>
    </row>
    <row r="511" spans="2:6" x14ac:dyDescent="0.25">
      <c r="B511" s="27" t="s">
        <v>8</v>
      </c>
      <c r="C511" s="19">
        <f>41025+(3*365)</f>
        <v>42120</v>
      </c>
      <c r="D511" s="18" t="s">
        <v>77</v>
      </c>
      <c r="E511" s="18" t="s">
        <v>75</v>
      </c>
      <c r="F511" s="21">
        <v>320</v>
      </c>
    </row>
    <row r="512" spans="2:6" x14ac:dyDescent="0.25">
      <c r="B512" s="27" t="s">
        <v>11</v>
      </c>
      <c r="C512" s="19">
        <f>40927+(3*365)</f>
        <v>42022</v>
      </c>
      <c r="D512" s="18" t="s">
        <v>74</v>
      </c>
      <c r="E512" s="18" t="s">
        <v>66</v>
      </c>
      <c r="F512" s="21">
        <v>840</v>
      </c>
    </row>
    <row r="513" spans="2:6" x14ac:dyDescent="0.25">
      <c r="B513" s="27" t="s">
        <v>11</v>
      </c>
      <c r="C513" s="19">
        <f>40030+(3*365)</f>
        <v>41125</v>
      </c>
      <c r="D513" s="18" t="s">
        <v>60</v>
      </c>
      <c r="E513" s="18" t="s">
        <v>69</v>
      </c>
      <c r="F513" s="21">
        <v>1440</v>
      </c>
    </row>
    <row r="514" spans="2:6" x14ac:dyDescent="0.25">
      <c r="B514" s="27" t="s">
        <v>18</v>
      </c>
      <c r="C514" s="19">
        <f>40867+(3*365)</f>
        <v>41962</v>
      </c>
      <c r="D514" s="18" t="s">
        <v>71</v>
      </c>
      <c r="E514" s="18" t="s">
        <v>59</v>
      </c>
      <c r="F514" s="21">
        <v>896</v>
      </c>
    </row>
    <row r="515" spans="2:6" x14ac:dyDescent="0.25">
      <c r="B515" s="27" t="s">
        <v>11</v>
      </c>
      <c r="C515" s="19">
        <f>40372+(3*365)</f>
        <v>41467</v>
      </c>
      <c r="D515" s="18" t="s">
        <v>74</v>
      </c>
      <c r="E515" s="18" t="s">
        <v>72</v>
      </c>
      <c r="F515" s="21">
        <v>1308</v>
      </c>
    </row>
    <row r="516" spans="2:6" x14ac:dyDescent="0.25">
      <c r="B516" s="27" t="s">
        <v>8</v>
      </c>
      <c r="C516" s="19">
        <f>40580+(3*365)</f>
        <v>41675</v>
      </c>
      <c r="D516" s="18" t="s">
        <v>81</v>
      </c>
      <c r="E516" s="18" t="s">
        <v>59</v>
      </c>
      <c r="F516" s="21">
        <v>280</v>
      </c>
    </row>
    <row r="517" spans="2:6" x14ac:dyDescent="0.25">
      <c r="B517" s="27" t="s">
        <v>10</v>
      </c>
      <c r="C517" s="19">
        <f>41178+(3*365)</f>
        <v>42273</v>
      </c>
      <c r="D517" s="18" t="s">
        <v>65</v>
      </c>
      <c r="E517" s="18" t="s">
        <v>63</v>
      </c>
      <c r="F517" s="21">
        <v>780</v>
      </c>
    </row>
    <row r="518" spans="2:6" x14ac:dyDescent="0.25">
      <c r="B518" s="27" t="s">
        <v>31</v>
      </c>
      <c r="C518" s="19">
        <f>41194+(3*365)</f>
        <v>42289</v>
      </c>
      <c r="D518" s="18" t="s">
        <v>76</v>
      </c>
      <c r="E518" s="18" t="s">
        <v>69</v>
      </c>
      <c r="F518" s="21">
        <v>5508</v>
      </c>
    </row>
    <row r="519" spans="2:6" x14ac:dyDescent="0.25">
      <c r="B519" s="27" t="s">
        <v>10</v>
      </c>
      <c r="C519" s="19">
        <f>40161+(3*365)</f>
        <v>41256</v>
      </c>
      <c r="D519" s="18" t="s">
        <v>67</v>
      </c>
      <c r="E519" s="18" t="s">
        <v>59</v>
      </c>
      <c r="F519" s="21">
        <v>936</v>
      </c>
    </row>
    <row r="520" spans="2:6" x14ac:dyDescent="0.25">
      <c r="B520" s="27" t="s">
        <v>8</v>
      </c>
      <c r="C520" s="19">
        <f>40410+(3*365)</f>
        <v>41505</v>
      </c>
      <c r="D520" s="18" t="s">
        <v>81</v>
      </c>
      <c r="E520" s="18" t="s">
        <v>63</v>
      </c>
      <c r="F520" s="21">
        <v>928</v>
      </c>
    </row>
    <row r="521" spans="2:6" x14ac:dyDescent="0.25">
      <c r="B521" s="27" t="s">
        <v>8</v>
      </c>
      <c r="C521" s="19">
        <f>40930+(3*365)</f>
        <v>42025</v>
      </c>
      <c r="D521" s="18" t="s">
        <v>81</v>
      </c>
      <c r="E521" s="18" t="s">
        <v>61</v>
      </c>
      <c r="F521" s="21">
        <v>260</v>
      </c>
    </row>
    <row r="522" spans="2:6" x14ac:dyDescent="0.25">
      <c r="B522" s="27" t="s">
        <v>9</v>
      </c>
      <c r="C522" s="19">
        <f>40848+(3*365)</f>
        <v>41943</v>
      </c>
      <c r="D522" s="18" t="s">
        <v>62</v>
      </c>
      <c r="E522" s="18" t="s">
        <v>75</v>
      </c>
      <c r="F522" s="21">
        <v>261</v>
      </c>
    </row>
    <row r="523" spans="2:6" x14ac:dyDescent="0.25">
      <c r="B523" s="27" t="s">
        <v>11</v>
      </c>
      <c r="C523" s="19">
        <f>39999+(3*365)</f>
        <v>41094</v>
      </c>
      <c r="D523" s="18" t="s">
        <v>74</v>
      </c>
      <c r="E523" s="18" t="s">
        <v>64</v>
      </c>
      <c r="F523" s="21">
        <v>2490</v>
      </c>
    </row>
    <row r="524" spans="2:6" x14ac:dyDescent="0.25">
      <c r="B524" s="27" t="s">
        <v>31</v>
      </c>
      <c r="C524" s="19">
        <f>40219+(3*365)</f>
        <v>41314</v>
      </c>
      <c r="D524" s="18" t="s">
        <v>70</v>
      </c>
      <c r="E524" s="18" t="s">
        <v>61</v>
      </c>
      <c r="F524" s="21">
        <v>180</v>
      </c>
    </row>
    <row r="525" spans="2:6" x14ac:dyDescent="0.25">
      <c r="B525" s="27" t="s">
        <v>31</v>
      </c>
      <c r="C525" s="19">
        <f>41263+(3*365)</f>
        <v>42358</v>
      </c>
      <c r="D525" s="18" t="s">
        <v>70</v>
      </c>
      <c r="E525" s="18" t="s">
        <v>64</v>
      </c>
      <c r="F525" s="21">
        <v>4599</v>
      </c>
    </row>
    <row r="526" spans="2:6" x14ac:dyDescent="0.25">
      <c r="B526" s="27" t="s">
        <v>8</v>
      </c>
      <c r="C526" s="19">
        <f>39987+(3*365)</f>
        <v>41082</v>
      </c>
      <c r="D526" s="18" t="s">
        <v>77</v>
      </c>
      <c r="E526" s="18" t="s">
        <v>75</v>
      </c>
      <c r="F526" s="21">
        <v>234</v>
      </c>
    </row>
    <row r="527" spans="2:6" x14ac:dyDescent="0.25">
      <c r="B527" s="27" t="s">
        <v>18</v>
      </c>
      <c r="C527" s="19">
        <f>40205+(3*365)</f>
        <v>41300</v>
      </c>
      <c r="D527" s="18" t="s">
        <v>71</v>
      </c>
      <c r="E527" s="18" t="s">
        <v>72</v>
      </c>
      <c r="F527" s="21">
        <v>2040</v>
      </c>
    </row>
    <row r="528" spans="2:6" x14ac:dyDescent="0.25">
      <c r="B528" s="27" t="s">
        <v>9</v>
      </c>
      <c r="C528" s="19">
        <f>41172+(3*365)</f>
        <v>42267</v>
      </c>
      <c r="D528" s="18" t="s">
        <v>80</v>
      </c>
      <c r="E528" s="18" t="s">
        <v>63</v>
      </c>
      <c r="F528" s="21">
        <v>188</v>
      </c>
    </row>
    <row r="529" spans="2:6" x14ac:dyDescent="0.25">
      <c r="B529" s="27" t="s">
        <v>18</v>
      </c>
      <c r="C529" s="19">
        <f>40048+(3*365)</f>
        <v>41143</v>
      </c>
      <c r="D529" s="18" t="s">
        <v>71</v>
      </c>
      <c r="E529" s="18" t="s">
        <v>69</v>
      </c>
      <c r="F529" s="21">
        <v>1356</v>
      </c>
    </row>
    <row r="530" spans="2:6" x14ac:dyDescent="0.25">
      <c r="B530" s="27" t="s">
        <v>8</v>
      </c>
      <c r="C530" s="19">
        <f>40375+(3*365)</f>
        <v>41470</v>
      </c>
      <c r="D530" s="18" t="s">
        <v>81</v>
      </c>
      <c r="E530" s="18" t="s">
        <v>66</v>
      </c>
      <c r="F530" s="21">
        <v>1240</v>
      </c>
    </row>
    <row r="531" spans="2:6" x14ac:dyDescent="0.25">
      <c r="B531" s="27" t="s">
        <v>21</v>
      </c>
      <c r="C531" s="19">
        <f>40388+(3*365)</f>
        <v>41483</v>
      </c>
      <c r="D531" s="18" t="s">
        <v>58</v>
      </c>
      <c r="E531" s="18" t="s">
        <v>72</v>
      </c>
      <c r="F531" s="21">
        <v>664</v>
      </c>
    </row>
    <row r="532" spans="2:6" x14ac:dyDescent="0.25">
      <c r="B532" s="27" t="s">
        <v>8</v>
      </c>
      <c r="C532" s="19">
        <f>41233+(3*365)</f>
        <v>42328</v>
      </c>
      <c r="D532" s="18" t="s">
        <v>77</v>
      </c>
      <c r="E532" s="18" t="s">
        <v>66</v>
      </c>
      <c r="F532" s="21">
        <v>1360</v>
      </c>
    </row>
    <row r="533" spans="2:6" x14ac:dyDescent="0.25">
      <c r="B533" s="27" t="s">
        <v>21</v>
      </c>
      <c r="C533" s="19">
        <f>40396+(3*365)</f>
        <v>41491</v>
      </c>
      <c r="D533" s="18" t="s">
        <v>58</v>
      </c>
      <c r="E533" s="18" t="s">
        <v>72</v>
      </c>
      <c r="F533" s="21">
        <v>1608</v>
      </c>
    </row>
    <row r="534" spans="2:6" x14ac:dyDescent="0.25">
      <c r="B534" s="27" t="s">
        <v>9</v>
      </c>
      <c r="C534" s="19">
        <f>40886+(3*365)</f>
        <v>41981</v>
      </c>
      <c r="D534" s="18" t="s">
        <v>80</v>
      </c>
      <c r="E534" s="18" t="s">
        <v>64</v>
      </c>
      <c r="F534" s="21">
        <v>3360</v>
      </c>
    </row>
    <row r="535" spans="2:6" x14ac:dyDescent="0.25">
      <c r="B535" s="27" t="s">
        <v>10</v>
      </c>
      <c r="C535" s="19">
        <f>40764+(3*365)</f>
        <v>41859</v>
      </c>
      <c r="D535" s="18" t="s">
        <v>65</v>
      </c>
      <c r="E535" s="18" t="s">
        <v>63</v>
      </c>
      <c r="F535" s="21">
        <v>756</v>
      </c>
    </row>
    <row r="536" spans="2:6" x14ac:dyDescent="0.25">
      <c r="B536" s="27" t="s">
        <v>9</v>
      </c>
      <c r="C536" s="19">
        <f>40780+(3*365)</f>
        <v>41875</v>
      </c>
      <c r="D536" s="18" t="s">
        <v>80</v>
      </c>
      <c r="E536" s="18" t="s">
        <v>69</v>
      </c>
      <c r="F536" s="21">
        <v>1632</v>
      </c>
    </row>
    <row r="537" spans="2:6" x14ac:dyDescent="0.25">
      <c r="B537" s="27" t="s">
        <v>25</v>
      </c>
      <c r="C537" s="19">
        <f>40443+(3*365)</f>
        <v>41538</v>
      </c>
      <c r="D537" s="18" t="s">
        <v>79</v>
      </c>
      <c r="E537" s="18" t="s">
        <v>63</v>
      </c>
      <c r="F537" s="21">
        <v>486</v>
      </c>
    </row>
    <row r="538" spans="2:6" x14ac:dyDescent="0.25">
      <c r="B538" s="27" t="s">
        <v>18</v>
      </c>
      <c r="C538" s="19">
        <f>40100+(3*365)</f>
        <v>41195</v>
      </c>
      <c r="D538" s="18" t="s">
        <v>68</v>
      </c>
      <c r="E538" s="18" t="s">
        <v>72</v>
      </c>
      <c r="F538" s="21">
        <v>4698</v>
      </c>
    </row>
    <row r="539" spans="2:6" x14ac:dyDescent="0.25">
      <c r="B539" s="27" t="s">
        <v>8</v>
      </c>
      <c r="C539" s="19">
        <f>41133+(3*365)</f>
        <v>42228</v>
      </c>
      <c r="D539" s="18" t="s">
        <v>81</v>
      </c>
      <c r="E539" s="18" t="s">
        <v>72</v>
      </c>
      <c r="F539" s="21">
        <v>7924</v>
      </c>
    </row>
    <row r="540" spans="2:6" x14ac:dyDescent="0.25">
      <c r="B540" s="27" t="s">
        <v>21</v>
      </c>
      <c r="C540" s="19">
        <f>41103+(3*365)</f>
        <v>42198</v>
      </c>
      <c r="D540" s="18" t="s">
        <v>73</v>
      </c>
      <c r="E540" s="18" t="s">
        <v>64</v>
      </c>
      <c r="F540" s="21">
        <v>6216</v>
      </c>
    </row>
    <row r="541" spans="2:6" x14ac:dyDescent="0.25">
      <c r="B541" s="27" t="s">
        <v>21</v>
      </c>
      <c r="C541" s="19">
        <f>40648+(3*365)</f>
        <v>41743</v>
      </c>
      <c r="D541" s="18" t="s">
        <v>58</v>
      </c>
      <c r="E541" s="18" t="s">
        <v>63</v>
      </c>
      <c r="F541" s="21">
        <v>264</v>
      </c>
    </row>
    <row r="542" spans="2:6" x14ac:dyDescent="0.25">
      <c r="B542" s="27" t="s">
        <v>31</v>
      </c>
      <c r="C542" s="19">
        <f>40666+(3*365)</f>
        <v>41761</v>
      </c>
      <c r="D542" s="18" t="s">
        <v>76</v>
      </c>
      <c r="E542" s="18" t="s">
        <v>72</v>
      </c>
      <c r="F542" s="21">
        <v>2394</v>
      </c>
    </row>
    <row r="543" spans="2:6" x14ac:dyDescent="0.25">
      <c r="B543" s="27" t="s">
        <v>21</v>
      </c>
      <c r="C543" s="19">
        <f>40738+(3*365)</f>
        <v>41833</v>
      </c>
      <c r="D543" s="18" t="s">
        <v>58</v>
      </c>
      <c r="E543" s="18" t="s">
        <v>72</v>
      </c>
      <c r="F543" s="21">
        <v>1428</v>
      </c>
    </row>
    <row r="544" spans="2:6" x14ac:dyDescent="0.25">
      <c r="B544" s="27" t="s">
        <v>10</v>
      </c>
      <c r="C544" s="19">
        <f>40194+(3*365)</f>
        <v>41289</v>
      </c>
      <c r="D544" s="18" t="s">
        <v>67</v>
      </c>
      <c r="E544" s="18" t="s">
        <v>63</v>
      </c>
      <c r="F544" s="21">
        <v>516</v>
      </c>
    </row>
    <row r="545" spans="2:6" x14ac:dyDescent="0.25">
      <c r="B545" s="27" t="s">
        <v>8</v>
      </c>
      <c r="C545" s="19">
        <f>40459+(3*365)</f>
        <v>41554</v>
      </c>
      <c r="D545" s="18" t="s">
        <v>81</v>
      </c>
      <c r="E545" s="18" t="s">
        <v>66</v>
      </c>
      <c r="F545" s="21">
        <v>696</v>
      </c>
    </row>
    <row r="546" spans="2:6" x14ac:dyDescent="0.25">
      <c r="B546" s="27" t="s">
        <v>9</v>
      </c>
      <c r="C546" s="19">
        <f>40536+(3*365)</f>
        <v>41631</v>
      </c>
      <c r="D546" s="18" t="s">
        <v>62</v>
      </c>
      <c r="E546" s="18" t="s">
        <v>66</v>
      </c>
      <c r="F546" s="21">
        <v>560</v>
      </c>
    </row>
    <row r="547" spans="2:6" x14ac:dyDescent="0.25">
      <c r="B547" s="27" t="s">
        <v>9</v>
      </c>
      <c r="C547" s="19">
        <f>41109+(3*365)</f>
        <v>42204</v>
      </c>
      <c r="D547" s="18" t="s">
        <v>62</v>
      </c>
      <c r="E547" s="18" t="s">
        <v>63</v>
      </c>
      <c r="F547" s="21">
        <v>92</v>
      </c>
    </row>
    <row r="548" spans="2:6" x14ac:dyDescent="0.25">
      <c r="B548" s="27" t="s">
        <v>11</v>
      </c>
      <c r="C548" s="19">
        <f>40014+(3*365)</f>
        <v>41109</v>
      </c>
      <c r="D548" s="18" t="s">
        <v>74</v>
      </c>
      <c r="E548" s="18" t="s">
        <v>63</v>
      </c>
      <c r="F548" s="21">
        <v>252</v>
      </c>
    </row>
    <row r="549" spans="2:6" x14ac:dyDescent="0.25">
      <c r="B549" s="27" t="s">
        <v>18</v>
      </c>
      <c r="C549" s="19">
        <f>40906+(3*365)</f>
        <v>42001</v>
      </c>
      <c r="D549" s="18" t="s">
        <v>71</v>
      </c>
      <c r="E549" s="18" t="s">
        <v>69</v>
      </c>
      <c r="F549" s="21">
        <v>1368</v>
      </c>
    </row>
    <row r="550" spans="2:6" x14ac:dyDescent="0.25">
      <c r="B550" s="27" t="s">
        <v>9</v>
      </c>
      <c r="C550" s="19">
        <f>41014+(3*365)</f>
        <v>42109</v>
      </c>
      <c r="D550" s="18" t="s">
        <v>62</v>
      </c>
      <c r="E550" s="18" t="s">
        <v>69</v>
      </c>
      <c r="F550" s="21">
        <v>165</v>
      </c>
    </row>
    <row r="551" spans="2:6" x14ac:dyDescent="0.25">
      <c r="B551" s="27" t="s">
        <v>21</v>
      </c>
      <c r="C551" s="19">
        <f>40138+(3*365)</f>
        <v>41233</v>
      </c>
      <c r="D551" s="18" t="s">
        <v>58</v>
      </c>
      <c r="E551" s="18" t="s">
        <v>59</v>
      </c>
      <c r="F551" s="21">
        <v>203</v>
      </c>
    </row>
    <row r="552" spans="2:6" x14ac:dyDescent="0.25">
      <c r="B552" s="27" t="s">
        <v>9</v>
      </c>
      <c r="C552" s="19">
        <f>40544+(3*365)</f>
        <v>41639</v>
      </c>
      <c r="D552" s="18" t="s">
        <v>80</v>
      </c>
      <c r="E552" s="18" t="s">
        <v>63</v>
      </c>
      <c r="F552" s="21">
        <v>261</v>
      </c>
    </row>
    <row r="553" spans="2:6" x14ac:dyDescent="0.25">
      <c r="B553" s="27" t="s">
        <v>21</v>
      </c>
      <c r="C553" s="19">
        <f>39998+(3*365)</f>
        <v>41093</v>
      </c>
      <c r="D553" s="18" t="s">
        <v>58</v>
      </c>
      <c r="E553" s="18" t="s">
        <v>63</v>
      </c>
      <c r="F553" s="21">
        <v>378</v>
      </c>
    </row>
    <row r="554" spans="2:6" x14ac:dyDescent="0.25">
      <c r="B554" s="27" t="s">
        <v>31</v>
      </c>
      <c r="C554" s="19">
        <f>41174+(3*365)</f>
        <v>42269</v>
      </c>
      <c r="D554" s="18" t="s">
        <v>70</v>
      </c>
      <c r="E554" s="18" t="s">
        <v>69</v>
      </c>
      <c r="F554" s="21">
        <v>1806</v>
      </c>
    </row>
    <row r="555" spans="2:6" x14ac:dyDescent="0.25">
      <c r="B555" s="27" t="s">
        <v>25</v>
      </c>
      <c r="C555" s="19">
        <f>40256+(3*365)</f>
        <v>41351</v>
      </c>
      <c r="D555" s="18" t="s">
        <v>79</v>
      </c>
      <c r="E555" s="18" t="s">
        <v>64</v>
      </c>
      <c r="F555" s="21">
        <v>3972</v>
      </c>
    </row>
    <row r="556" spans="2:6" x14ac:dyDescent="0.25">
      <c r="B556" s="27" t="s">
        <v>11</v>
      </c>
      <c r="C556" s="19">
        <f>41135+(3*365)</f>
        <v>42230</v>
      </c>
      <c r="D556" s="18" t="s">
        <v>60</v>
      </c>
      <c r="E556" s="18" t="s">
        <v>75</v>
      </c>
      <c r="F556" s="21">
        <v>744</v>
      </c>
    </row>
    <row r="557" spans="2:6" x14ac:dyDescent="0.25">
      <c r="B557" s="27" t="s">
        <v>8</v>
      </c>
      <c r="C557" s="19">
        <f>40199+(3*365)</f>
        <v>41294</v>
      </c>
      <c r="D557" s="18" t="s">
        <v>81</v>
      </c>
      <c r="E557" s="18" t="s">
        <v>61</v>
      </c>
      <c r="F557" s="21">
        <v>1540</v>
      </c>
    </row>
    <row r="558" spans="2:6" x14ac:dyDescent="0.25">
      <c r="B558" s="27" t="s">
        <v>11</v>
      </c>
      <c r="C558" s="19">
        <f>40061+(3*365)</f>
        <v>41156</v>
      </c>
      <c r="D558" s="18" t="s">
        <v>60</v>
      </c>
      <c r="E558" s="18" t="s">
        <v>72</v>
      </c>
      <c r="F558" s="21">
        <v>2592</v>
      </c>
    </row>
    <row r="559" spans="2:6" x14ac:dyDescent="0.25">
      <c r="B559" s="27" t="s">
        <v>9</v>
      </c>
      <c r="C559" s="19">
        <f>40560+(3*365)</f>
        <v>41655</v>
      </c>
      <c r="D559" s="18" t="s">
        <v>62</v>
      </c>
      <c r="E559" s="18" t="s">
        <v>59</v>
      </c>
      <c r="F559" s="21">
        <v>234</v>
      </c>
    </row>
    <row r="560" spans="2:6" x14ac:dyDescent="0.25">
      <c r="B560" s="27" t="s">
        <v>9</v>
      </c>
      <c r="C560" s="19">
        <f>40582+(3*365)</f>
        <v>41677</v>
      </c>
      <c r="D560" s="18" t="s">
        <v>62</v>
      </c>
      <c r="E560" s="18" t="s">
        <v>63</v>
      </c>
      <c r="F560" s="21">
        <v>720</v>
      </c>
    </row>
    <row r="561" spans="2:6" x14ac:dyDescent="0.25">
      <c r="B561" s="27" t="s">
        <v>25</v>
      </c>
      <c r="C561" s="19">
        <f>40861+(3*365)</f>
        <v>41956</v>
      </c>
      <c r="D561" s="18" t="s">
        <v>78</v>
      </c>
      <c r="E561" s="18" t="s">
        <v>66</v>
      </c>
      <c r="F561" s="21">
        <v>296</v>
      </c>
    </row>
    <row r="562" spans="2:6" x14ac:dyDescent="0.25">
      <c r="B562" s="27" t="s">
        <v>31</v>
      </c>
      <c r="C562" s="19">
        <f>40346+(3*365)</f>
        <v>41441</v>
      </c>
      <c r="D562" s="18" t="s">
        <v>70</v>
      </c>
      <c r="E562" s="18" t="s">
        <v>66</v>
      </c>
      <c r="F562" s="21">
        <v>864</v>
      </c>
    </row>
    <row r="563" spans="2:6" x14ac:dyDescent="0.25">
      <c r="B563" s="27" t="s">
        <v>11</v>
      </c>
      <c r="C563" s="19">
        <f>40803+(3*365)</f>
        <v>41898</v>
      </c>
      <c r="D563" s="18" t="s">
        <v>60</v>
      </c>
      <c r="E563" s="18" t="s">
        <v>75</v>
      </c>
      <c r="F563" s="21">
        <v>330</v>
      </c>
    </row>
    <row r="564" spans="2:6" x14ac:dyDescent="0.25">
      <c r="B564" s="27" t="s">
        <v>25</v>
      </c>
      <c r="C564" s="19">
        <f>39887+(3*365)</f>
        <v>40982</v>
      </c>
      <c r="D564" s="18" t="s">
        <v>79</v>
      </c>
      <c r="E564" s="18" t="s">
        <v>64</v>
      </c>
      <c r="F564" s="21">
        <v>6246</v>
      </c>
    </row>
    <row r="565" spans="2:6" x14ac:dyDescent="0.25">
      <c r="B565" s="27" t="s">
        <v>8</v>
      </c>
      <c r="C565" s="19">
        <f>41198+(3*365)</f>
        <v>42293</v>
      </c>
      <c r="D565" s="18" t="s">
        <v>81</v>
      </c>
      <c r="E565" s="18" t="s">
        <v>59</v>
      </c>
      <c r="F565" s="21">
        <v>448</v>
      </c>
    </row>
    <row r="566" spans="2:6" x14ac:dyDescent="0.25">
      <c r="B566" s="27" t="s">
        <v>21</v>
      </c>
      <c r="C566" s="19">
        <f>40717+(3*365)</f>
        <v>41812</v>
      </c>
      <c r="D566" s="18" t="s">
        <v>73</v>
      </c>
      <c r="E566" s="18" t="s">
        <v>64</v>
      </c>
      <c r="F566" s="21">
        <v>1431</v>
      </c>
    </row>
    <row r="567" spans="2:6" x14ac:dyDescent="0.25">
      <c r="B567" s="27" t="s">
        <v>8</v>
      </c>
      <c r="C567" s="19">
        <f>40947+(3*365)</f>
        <v>42042</v>
      </c>
      <c r="D567" s="18" t="s">
        <v>77</v>
      </c>
      <c r="E567" s="18" t="s">
        <v>66</v>
      </c>
      <c r="F567" s="21">
        <v>1232</v>
      </c>
    </row>
    <row r="568" spans="2:6" x14ac:dyDescent="0.25">
      <c r="B568" s="27" t="s">
        <v>31</v>
      </c>
      <c r="C568" s="19">
        <f>41238+(3*365)</f>
        <v>42333</v>
      </c>
      <c r="D568" s="18" t="s">
        <v>76</v>
      </c>
      <c r="E568" s="18" t="s">
        <v>72</v>
      </c>
      <c r="F568" s="21">
        <v>1020</v>
      </c>
    </row>
    <row r="569" spans="2:6" x14ac:dyDescent="0.25">
      <c r="B569" s="27" t="s">
        <v>10</v>
      </c>
      <c r="C569" s="19">
        <f>40336+(3*365)</f>
        <v>41431</v>
      </c>
      <c r="D569" s="18" t="s">
        <v>65</v>
      </c>
      <c r="E569" s="18" t="s">
        <v>63</v>
      </c>
      <c r="F569" s="21">
        <v>1200</v>
      </c>
    </row>
    <row r="570" spans="2:6" x14ac:dyDescent="0.25">
      <c r="B570" s="27" t="s">
        <v>18</v>
      </c>
      <c r="C570" s="19">
        <f>39991+(3*365)</f>
        <v>41086</v>
      </c>
      <c r="D570" s="18" t="s">
        <v>68</v>
      </c>
      <c r="E570" s="18" t="s">
        <v>61</v>
      </c>
      <c r="F570" s="21">
        <v>444</v>
      </c>
    </row>
    <row r="571" spans="2:6" x14ac:dyDescent="0.25">
      <c r="B571" s="27" t="s">
        <v>11</v>
      </c>
      <c r="C571" s="19">
        <f>40532+(3*365)</f>
        <v>41627</v>
      </c>
      <c r="D571" s="18" t="s">
        <v>74</v>
      </c>
      <c r="E571" s="18" t="s">
        <v>75</v>
      </c>
      <c r="F571" s="21">
        <v>114</v>
      </c>
    </row>
    <row r="572" spans="2:6" x14ac:dyDescent="0.25">
      <c r="B572" s="27" t="s">
        <v>25</v>
      </c>
      <c r="C572" s="19">
        <f>41154+(3*365)</f>
        <v>42249</v>
      </c>
      <c r="D572" s="18" t="s">
        <v>78</v>
      </c>
      <c r="E572" s="18" t="s">
        <v>59</v>
      </c>
      <c r="F572" s="21">
        <v>352</v>
      </c>
    </row>
    <row r="573" spans="2:6" x14ac:dyDescent="0.25">
      <c r="B573" s="27" t="s">
        <v>10</v>
      </c>
      <c r="C573" s="19">
        <f>40658+(3*365)</f>
        <v>41753</v>
      </c>
      <c r="D573" s="18" t="s">
        <v>67</v>
      </c>
      <c r="E573" s="18" t="s">
        <v>75</v>
      </c>
      <c r="F573" s="21">
        <v>312</v>
      </c>
    </row>
    <row r="574" spans="2:6" x14ac:dyDescent="0.25">
      <c r="B574" s="27" t="s">
        <v>31</v>
      </c>
      <c r="C574" s="19">
        <f>40872+(3*365)</f>
        <v>41967</v>
      </c>
      <c r="D574" s="18" t="s">
        <v>76</v>
      </c>
      <c r="E574" s="18" t="s">
        <v>59</v>
      </c>
      <c r="F574" s="21">
        <v>315</v>
      </c>
    </row>
    <row r="575" spans="2:6" x14ac:dyDescent="0.25">
      <c r="B575" s="27" t="s">
        <v>21</v>
      </c>
      <c r="C575" s="19">
        <f>39888+(3*365)</f>
        <v>40983</v>
      </c>
      <c r="D575" s="18" t="s">
        <v>73</v>
      </c>
      <c r="E575" s="18" t="s">
        <v>66</v>
      </c>
      <c r="F575" s="21">
        <v>64</v>
      </c>
    </row>
    <row r="576" spans="2:6" x14ac:dyDescent="0.25">
      <c r="B576" s="27" t="s">
        <v>9</v>
      </c>
      <c r="C576" s="19">
        <f>40901+(3*365)</f>
        <v>41996</v>
      </c>
      <c r="D576" s="18" t="s">
        <v>80</v>
      </c>
      <c r="E576" s="18" t="s">
        <v>75</v>
      </c>
      <c r="F576" s="21">
        <v>114</v>
      </c>
    </row>
    <row r="577" spans="2:6" x14ac:dyDescent="0.25">
      <c r="B577" s="27" t="s">
        <v>9</v>
      </c>
      <c r="C577" s="19">
        <f>40153+(3*365)</f>
        <v>41248</v>
      </c>
      <c r="D577" s="18" t="s">
        <v>62</v>
      </c>
      <c r="E577" s="18" t="s">
        <v>75</v>
      </c>
      <c r="F577" s="21">
        <v>138</v>
      </c>
    </row>
    <row r="578" spans="2:6" x14ac:dyDescent="0.25">
      <c r="B578" s="27" t="s">
        <v>8</v>
      </c>
      <c r="C578" s="19">
        <f>40604+(3*365)</f>
        <v>41699</v>
      </c>
      <c r="D578" s="18" t="s">
        <v>81</v>
      </c>
      <c r="E578" s="18" t="s">
        <v>61</v>
      </c>
      <c r="F578" s="21">
        <v>896</v>
      </c>
    </row>
    <row r="579" spans="2:6" x14ac:dyDescent="0.25">
      <c r="B579" s="27" t="s">
        <v>11</v>
      </c>
      <c r="C579" s="19">
        <f>41235+(3*365)</f>
        <v>42330</v>
      </c>
      <c r="D579" s="18" t="s">
        <v>74</v>
      </c>
      <c r="E579" s="18" t="s">
        <v>63</v>
      </c>
      <c r="F579" s="21">
        <v>588</v>
      </c>
    </row>
    <row r="580" spans="2:6" x14ac:dyDescent="0.25">
      <c r="B580" s="27" t="s">
        <v>31</v>
      </c>
      <c r="C580" s="19">
        <f>40854+(3*365)</f>
        <v>41949</v>
      </c>
      <c r="D580" s="18" t="s">
        <v>70</v>
      </c>
      <c r="E580" s="18" t="s">
        <v>59</v>
      </c>
      <c r="F580" s="21">
        <v>168</v>
      </c>
    </row>
    <row r="581" spans="2:6" x14ac:dyDescent="0.25">
      <c r="B581" s="27" t="s">
        <v>9</v>
      </c>
      <c r="C581" s="19">
        <f>40959+(3*365)</f>
        <v>42054</v>
      </c>
      <c r="D581" s="18" t="s">
        <v>80</v>
      </c>
      <c r="E581" s="18" t="s">
        <v>64</v>
      </c>
      <c r="F581" s="21">
        <v>556</v>
      </c>
    </row>
    <row r="582" spans="2:6" x14ac:dyDescent="0.25">
      <c r="B582" s="27" t="s">
        <v>18</v>
      </c>
      <c r="C582" s="19">
        <f>39825+(3*365)</f>
        <v>40920</v>
      </c>
      <c r="D582" s="18" t="s">
        <v>68</v>
      </c>
      <c r="E582" s="18" t="s">
        <v>69</v>
      </c>
      <c r="F582" s="21">
        <v>1812</v>
      </c>
    </row>
    <row r="583" spans="2:6" x14ac:dyDescent="0.25">
      <c r="B583" s="27" t="s">
        <v>25</v>
      </c>
      <c r="C583" s="19">
        <f>40374+(3*365)</f>
        <v>41469</v>
      </c>
      <c r="D583" s="18" t="s">
        <v>79</v>
      </c>
      <c r="E583" s="18" t="s">
        <v>61</v>
      </c>
      <c r="F583" s="21">
        <v>600</v>
      </c>
    </row>
    <row r="584" spans="2:6" x14ac:dyDescent="0.25">
      <c r="B584" s="27" t="s">
        <v>9</v>
      </c>
      <c r="C584" s="19">
        <f>40039+(3*365)</f>
        <v>41134</v>
      </c>
      <c r="D584" s="18" t="s">
        <v>62</v>
      </c>
      <c r="E584" s="18" t="s">
        <v>69</v>
      </c>
      <c r="F584" s="21">
        <v>2660</v>
      </c>
    </row>
    <row r="585" spans="2:6" x14ac:dyDescent="0.25">
      <c r="B585" s="27" t="s">
        <v>18</v>
      </c>
      <c r="C585" s="19">
        <f>41064+(3*365)</f>
        <v>42159</v>
      </c>
      <c r="D585" s="18" t="s">
        <v>71</v>
      </c>
      <c r="E585" s="18" t="s">
        <v>63</v>
      </c>
      <c r="F585" s="21">
        <v>504</v>
      </c>
    </row>
    <row r="586" spans="2:6" x14ac:dyDescent="0.25">
      <c r="B586" s="27" t="s">
        <v>8</v>
      </c>
      <c r="C586" s="19">
        <f>40796+(3*365)</f>
        <v>41891</v>
      </c>
      <c r="D586" s="18" t="s">
        <v>81</v>
      </c>
      <c r="E586" s="18" t="s">
        <v>61</v>
      </c>
      <c r="F586" s="21">
        <v>1264</v>
      </c>
    </row>
    <row r="587" spans="2:6" x14ac:dyDescent="0.25">
      <c r="B587" s="27" t="s">
        <v>8</v>
      </c>
      <c r="C587" s="19">
        <f>41188+(3*365)</f>
        <v>42283</v>
      </c>
      <c r="D587" s="18" t="s">
        <v>77</v>
      </c>
      <c r="E587" s="18" t="s">
        <v>59</v>
      </c>
      <c r="F587" s="21">
        <v>1216</v>
      </c>
    </row>
    <row r="588" spans="2:6" x14ac:dyDescent="0.25">
      <c r="B588" s="27" t="s">
        <v>18</v>
      </c>
      <c r="C588" s="19">
        <f>40530+(3*365)</f>
        <v>41625</v>
      </c>
      <c r="D588" s="18" t="s">
        <v>68</v>
      </c>
      <c r="E588" s="18" t="s">
        <v>69</v>
      </c>
      <c r="F588" s="21">
        <v>1836</v>
      </c>
    </row>
    <row r="589" spans="2:6" x14ac:dyDescent="0.25">
      <c r="B589" s="27" t="s">
        <v>9</v>
      </c>
      <c r="C589" s="19">
        <f>41182+(3*365)</f>
        <v>42277</v>
      </c>
      <c r="D589" s="18" t="s">
        <v>80</v>
      </c>
      <c r="E589" s="18" t="s">
        <v>72</v>
      </c>
      <c r="F589" s="21">
        <v>861</v>
      </c>
    </row>
    <row r="590" spans="2:6" x14ac:dyDescent="0.25">
      <c r="B590" s="27" t="s">
        <v>10</v>
      </c>
      <c r="C590" s="19">
        <f>41020+(3*365)</f>
        <v>42115</v>
      </c>
      <c r="D590" s="18" t="s">
        <v>65</v>
      </c>
      <c r="E590" s="18" t="s">
        <v>63</v>
      </c>
      <c r="F590" s="21">
        <v>621</v>
      </c>
    </row>
    <row r="591" spans="2:6" x14ac:dyDescent="0.25">
      <c r="B591" s="27" t="s">
        <v>18</v>
      </c>
      <c r="C591" s="19">
        <f>40697+(3*365)</f>
        <v>41792</v>
      </c>
      <c r="D591" s="18" t="s">
        <v>71</v>
      </c>
      <c r="E591" s="18" t="s">
        <v>64</v>
      </c>
      <c r="F591" s="21">
        <v>14784</v>
      </c>
    </row>
    <row r="592" spans="2:6" x14ac:dyDescent="0.25">
      <c r="B592" s="27" t="s">
        <v>25</v>
      </c>
      <c r="C592" s="19">
        <f>40136+(3*365)</f>
        <v>41231</v>
      </c>
      <c r="D592" s="18" t="s">
        <v>79</v>
      </c>
      <c r="E592" s="18" t="s">
        <v>61</v>
      </c>
      <c r="F592" s="21">
        <v>80</v>
      </c>
    </row>
    <row r="593" spans="2:6" x14ac:dyDescent="0.25">
      <c r="B593" s="27" t="s">
        <v>21</v>
      </c>
      <c r="C593" s="19">
        <f>41068+(3*365)</f>
        <v>42163</v>
      </c>
      <c r="D593" s="18" t="s">
        <v>73</v>
      </c>
      <c r="E593" s="18" t="s">
        <v>61</v>
      </c>
      <c r="F593" s="21">
        <v>448</v>
      </c>
    </row>
    <row r="594" spans="2:6" x14ac:dyDescent="0.25">
      <c r="B594" s="27" t="s">
        <v>18</v>
      </c>
      <c r="C594" s="19">
        <f>39930+(3*365)</f>
        <v>41025</v>
      </c>
      <c r="D594" s="18" t="s">
        <v>71</v>
      </c>
      <c r="E594" s="18" t="s">
        <v>75</v>
      </c>
      <c r="F594" s="21">
        <v>336</v>
      </c>
    </row>
    <row r="595" spans="2:6" x14ac:dyDescent="0.25">
      <c r="B595" s="27" t="s">
        <v>9</v>
      </c>
      <c r="C595" s="19">
        <f>40887+(3*365)</f>
        <v>41982</v>
      </c>
      <c r="D595" s="18" t="s">
        <v>62</v>
      </c>
      <c r="E595" s="18" t="s">
        <v>61</v>
      </c>
      <c r="F595" s="21">
        <v>1029</v>
      </c>
    </row>
    <row r="596" spans="2:6" x14ac:dyDescent="0.25">
      <c r="B596" s="27" t="s">
        <v>18</v>
      </c>
      <c r="C596" s="19">
        <f>40192+(3*365)</f>
        <v>41287</v>
      </c>
      <c r="D596" s="18" t="s">
        <v>68</v>
      </c>
      <c r="E596" s="18" t="s">
        <v>59</v>
      </c>
      <c r="F596" s="21">
        <v>540</v>
      </c>
    </row>
    <row r="597" spans="2:6" x14ac:dyDescent="0.25">
      <c r="B597" s="27" t="s">
        <v>9</v>
      </c>
      <c r="C597" s="19">
        <f>40621+(3*365)</f>
        <v>41716</v>
      </c>
      <c r="D597" s="18" t="s">
        <v>80</v>
      </c>
      <c r="E597" s="18" t="s">
        <v>59</v>
      </c>
      <c r="F597" s="21">
        <v>78</v>
      </c>
    </row>
    <row r="598" spans="2:6" x14ac:dyDescent="0.25">
      <c r="B598" s="27" t="s">
        <v>8</v>
      </c>
      <c r="C598" s="19">
        <f>40112+(3*365)</f>
        <v>41207</v>
      </c>
      <c r="D598" s="18" t="s">
        <v>81</v>
      </c>
      <c r="E598" s="18" t="s">
        <v>75</v>
      </c>
      <c r="F598" s="21">
        <v>180</v>
      </c>
    </row>
    <row r="599" spans="2:6" x14ac:dyDescent="0.25">
      <c r="B599" s="27" t="s">
        <v>21</v>
      </c>
      <c r="C599" s="19">
        <f>39898+(3*365)</f>
        <v>40993</v>
      </c>
      <c r="D599" s="18" t="s">
        <v>73</v>
      </c>
      <c r="E599" s="18" t="s">
        <v>63</v>
      </c>
      <c r="F599" s="21">
        <v>432</v>
      </c>
    </row>
    <row r="600" spans="2:6" x14ac:dyDescent="0.25">
      <c r="B600" s="27" t="s">
        <v>11</v>
      </c>
      <c r="C600" s="19">
        <f>40717+(3*365)</f>
        <v>41812</v>
      </c>
      <c r="D600" s="18" t="s">
        <v>60</v>
      </c>
      <c r="E600" s="18" t="s">
        <v>66</v>
      </c>
      <c r="F600" s="21">
        <v>1584</v>
      </c>
    </row>
    <row r="601" spans="2:6" x14ac:dyDescent="0.25">
      <c r="B601" s="27" t="s">
        <v>8</v>
      </c>
      <c r="C601" s="19">
        <f>41268+(3*365)</f>
        <v>42363</v>
      </c>
      <c r="D601" s="18" t="s">
        <v>81</v>
      </c>
      <c r="E601" s="18" t="s">
        <v>59</v>
      </c>
      <c r="F601" s="21">
        <v>152</v>
      </c>
    </row>
    <row r="602" spans="2:6" x14ac:dyDescent="0.25">
      <c r="B602" s="27" t="s">
        <v>8</v>
      </c>
      <c r="C602" s="19">
        <f>41213+(3*365)</f>
        <v>42308</v>
      </c>
      <c r="D602" s="18" t="s">
        <v>77</v>
      </c>
      <c r="E602" s="18" t="s">
        <v>64</v>
      </c>
      <c r="F602" s="21">
        <v>13608</v>
      </c>
    </row>
    <row r="603" spans="2:6" x14ac:dyDescent="0.25">
      <c r="B603" s="27" t="s">
        <v>25</v>
      </c>
      <c r="C603" s="19">
        <f>39850+(3*365)</f>
        <v>40945</v>
      </c>
      <c r="D603" s="18" t="s">
        <v>79</v>
      </c>
      <c r="E603" s="18" t="s">
        <v>61</v>
      </c>
      <c r="F603" s="21">
        <v>960</v>
      </c>
    </row>
    <row r="604" spans="2:6" x14ac:dyDescent="0.25">
      <c r="B604" s="27" t="s">
        <v>25</v>
      </c>
      <c r="C604" s="19">
        <f>40834+(3*365)</f>
        <v>41929</v>
      </c>
      <c r="D604" s="18" t="s">
        <v>78</v>
      </c>
      <c r="E604" s="18" t="s">
        <v>63</v>
      </c>
      <c r="F604" s="21">
        <v>1032</v>
      </c>
    </row>
    <row r="605" spans="2:6" x14ac:dyDescent="0.25">
      <c r="B605" s="27" t="s">
        <v>25</v>
      </c>
      <c r="C605" s="19">
        <f>40741+(3*365)</f>
        <v>41836</v>
      </c>
      <c r="D605" s="18" t="s">
        <v>79</v>
      </c>
      <c r="E605" s="18" t="s">
        <v>69</v>
      </c>
      <c r="F605" s="21">
        <v>1736</v>
      </c>
    </row>
    <row r="606" spans="2:6" x14ac:dyDescent="0.25">
      <c r="B606" s="18" t="s">
        <v>21</v>
      </c>
      <c r="C606" s="19">
        <f>40656+(3*365)</f>
        <v>41751</v>
      </c>
      <c r="D606" s="18" t="s">
        <v>58</v>
      </c>
      <c r="E606" s="18" t="s">
        <v>59</v>
      </c>
      <c r="F606" s="21">
        <v>216</v>
      </c>
    </row>
    <row r="607" spans="2:6" x14ac:dyDescent="0.25">
      <c r="B607" s="18" t="s">
        <v>31</v>
      </c>
      <c r="C607" s="19">
        <f>41141+(3*365)</f>
        <v>42236</v>
      </c>
      <c r="D607" s="18" t="s">
        <v>76</v>
      </c>
      <c r="E607" s="18" t="s">
        <v>75</v>
      </c>
      <c r="F607" s="21">
        <v>756</v>
      </c>
    </row>
    <row r="608" spans="2:6" x14ac:dyDescent="0.25">
      <c r="B608" s="18" t="s">
        <v>9</v>
      </c>
      <c r="C608" s="19">
        <f>39965+(3*365)</f>
        <v>41060</v>
      </c>
      <c r="D608" s="18" t="s">
        <v>80</v>
      </c>
      <c r="E608" s="18" t="s">
        <v>59</v>
      </c>
      <c r="F608" s="21">
        <v>216</v>
      </c>
    </row>
    <row r="609" spans="2:6" x14ac:dyDescent="0.25">
      <c r="B609" s="18" t="s">
        <v>9</v>
      </c>
      <c r="C609" s="19">
        <f>40239+(3*365)</f>
        <v>41334</v>
      </c>
      <c r="D609" s="18" t="s">
        <v>62</v>
      </c>
      <c r="E609" s="18" t="s">
        <v>63</v>
      </c>
      <c r="F609" s="21">
        <v>588</v>
      </c>
    </row>
    <row r="610" spans="2:6" x14ac:dyDescent="0.25">
      <c r="B610" s="18" t="s">
        <v>21</v>
      </c>
      <c r="C610" s="19">
        <f>41235+(3*365)</f>
        <v>42330</v>
      </c>
      <c r="D610" s="18" t="s">
        <v>58</v>
      </c>
      <c r="E610" s="18" t="s">
        <v>72</v>
      </c>
      <c r="F610" s="21">
        <v>2144</v>
      </c>
    </row>
    <row r="611" spans="2:6" x14ac:dyDescent="0.25">
      <c r="B611" s="18" t="s">
        <v>31</v>
      </c>
      <c r="C611" s="19">
        <f>40059+(3*365)</f>
        <v>41154</v>
      </c>
      <c r="D611" s="18" t="s">
        <v>76</v>
      </c>
      <c r="E611" s="18" t="s">
        <v>72</v>
      </c>
      <c r="F611" s="21">
        <v>1638</v>
      </c>
    </row>
    <row r="612" spans="2:6" x14ac:dyDescent="0.25">
      <c r="B612" s="18" t="s">
        <v>8</v>
      </c>
      <c r="C612" s="19">
        <f>39898+(3*365)</f>
        <v>40993</v>
      </c>
      <c r="D612" s="18" t="s">
        <v>81</v>
      </c>
      <c r="E612" s="18" t="s">
        <v>59</v>
      </c>
      <c r="F612" s="21">
        <v>255</v>
      </c>
    </row>
    <row r="613" spans="2:6" x14ac:dyDescent="0.25">
      <c r="B613" s="18" t="s">
        <v>18</v>
      </c>
      <c r="C613" s="19">
        <f>41114+(3*365)</f>
        <v>42209</v>
      </c>
      <c r="D613" s="18" t="s">
        <v>68</v>
      </c>
      <c r="E613" s="18" t="s">
        <v>66</v>
      </c>
      <c r="F613" s="21">
        <v>1512</v>
      </c>
    </row>
    <row r="614" spans="2:6" x14ac:dyDescent="0.25">
      <c r="B614" s="18" t="s">
        <v>10</v>
      </c>
      <c r="C614" s="19">
        <f>40235+(3*365)</f>
        <v>41330</v>
      </c>
      <c r="D614" s="18" t="s">
        <v>67</v>
      </c>
      <c r="E614" s="18" t="s">
        <v>61</v>
      </c>
      <c r="F614" s="21">
        <v>1539</v>
      </c>
    </row>
    <row r="615" spans="2:6" x14ac:dyDescent="0.25">
      <c r="B615" s="18" t="s">
        <v>10</v>
      </c>
      <c r="C615" s="19">
        <f>41259+(3*365)</f>
        <v>42354</v>
      </c>
      <c r="D615" s="18" t="s">
        <v>65</v>
      </c>
      <c r="E615" s="18" t="s">
        <v>75</v>
      </c>
      <c r="F615" s="21">
        <v>210</v>
      </c>
    </row>
    <row r="616" spans="2:6" x14ac:dyDescent="0.25">
      <c r="B616" s="18" t="s">
        <v>31</v>
      </c>
      <c r="C616" s="19">
        <f>41013+(3*365)</f>
        <v>42108</v>
      </c>
      <c r="D616" s="18" t="s">
        <v>76</v>
      </c>
      <c r="E616" s="18" t="s">
        <v>59</v>
      </c>
      <c r="F616" s="21">
        <v>72</v>
      </c>
    </row>
    <row r="617" spans="2:6" x14ac:dyDescent="0.25">
      <c r="B617" s="18" t="s">
        <v>11</v>
      </c>
      <c r="C617" s="19">
        <f>40955+(3*365)</f>
        <v>42050</v>
      </c>
      <c r="D617" s="18" t="s">
        <v>74</v>
      </c>
      <c r="E617" s="18" t="s">
        <v>64</v>
      </c>
      <c r="F617" s="21">
        <v>12000</v>
      </c>
    </row>
    <row r="618" spans="2:6" x14ac:dyDescent="0.25">
      <c r="B618" s="18" t="s">
        <v>18</v>
      </c>
      <c r="C618" s="19">
        <f>39841+(3*365)</f>
        <v>40936</v>
      </c>
      <c r="D618" s="18" t="s">
        <v>68</v>
      </c>
      <c r="E618" s="18" t="s">
        <v>72</v>
      </c>
      <c r="F618" s="21">
        <v>4432</v>
      </c>
    </row>
    <row r="619" spans="2:6" x14ac:dyDescent="0.25">
      <c r="B619" s="18" t="s">
        <v>25</v>
      </c>
      <c r="C619" s="19">
        <f>40039+(3*365)</f>
        <v>41134</v>
      </c>
      <c r="D619" s="18" t="s">
        <v>78</v>
      </c>
      <c r="E619" s="18" t="s">
        <v>69</v>
      </c>
      <c r="F619" s="21">
        <v>1260</v>
      </c>
    </row>
    <row r="620" spans="2:6" x14ac:dyDescent="0.25">
      <c r="B620" s="18" t="s">
        <v>11</v>
      </c>
      <c r="C620" s="19">
        <f>40256+(3*365)</f>
        <v>41351</v>
      </c>
      <c r="D620" s="18" t="s">
        <v>60</v>
      </c>
      <c r="E620" s="18" t="s">
        <v>63</v>
      </c>
      <c r="F620" s="21">
        <v>477</v>
      </c>
    </row>
    <row r="621" spans="2:6" x14ac:dyDescent="0.25">
      <c r="B621" s="18" t="s">
        <v>25</v>
      </c>
      <c r="C621" s="19">
        <f>39987+(3*365)</f>
        <v>41082</v>
      </c>
      <c r="D621" s="18" t="s">
        <v>78</v>
      </c>
      <c r="E621" s="18" t="s">
        <v>66</v>
      </c>
      <c r="F621" s="21">
        <v>720</v>
      </c>
    </row>
    <row r="622" spans="2:6" x14ac:dyDescent="0.25">
      <c r="B622" s="18" t="s">
        <v>21</v>
      </c>
      <c r="C622" s="19">
        <f>40224+(3*365)</f>
        <v>41319</v>
      </c>
      <c r="D622" s="18" t="s">
        <v>58</v>
      </c>
      <c r="E622" s="18" t="s">
        <v>61</v>
      </c>
      <c r="F622" s="21">
        <v>450</v>
      </c>
    </row>
    <row r="623" spans="2:6" x14ac:dyDescent="0.25">
      <c r="B623" s="18" t="s">
        <v>10</v>
      </c>
      <c r="C623" s="19">
        <f>40700+(3*365)</f>
        <v>41795</v>
      </c>
      <c r="D623" s="18" t="s">
        <v>65</v>
      </c>
      <c r="E623" s="18" t="s">
        <v>72</v>
      </c>
      <c r="F623" s="21">
        <v>1620</v>
      </c>
    </row>
    <row r="624" spans="2:6" x14ac:dyDescent="0.25">
      <c r="B624" s="18" t="s">
        <v>21</v>
      </c>
      <c r="C624" s="19">
        <f>39977+(3*365)</f>
        <v>41072</v>
      </c>
      <c r="D624" s="18" t="s">
        <v>58</v>
      </c>
      <c r="E624" s="18" t="s">
        <v>66</v>
      </c>
      <c r="F624" s="21">
        <v>80</v>
      </c>
    </row>
    <row r="625" spans="2:6" x14ac:dyDescent="0.25">
      <c r="B625" s="18" t="s">
        <v>25</v>
      </c>
      <c r="C625" s="19">
        <f>40608+(3*365)</f>
        <v>41703</v>
      </c>
      <c r="D625" s="18" t="s">
        <v>79</v>
      </c>
      <c r="E625" s="18" t="s">
        <v>69</v>
      </c>
      <c r="F625" s="21">
        <v>1992</v>
      </c>
    </row>
    <row r="626" spans="2:6" x14ac:dyDescent="0.25">
      <c r="B626" s="18" t="s">
        <v>25</v>
      </c>
      <c r="C626" s="19">
        <f>40925+(3*365)</f>
        <v>42020</v>
      </c>
      <c r="D626" s="18" t="s">
        <v>79</v>
      </c>
      <c r="E626" s="18" t="s">
        <v>69</v>
      </c>
      <c r="F626" s="21">
        <v>390</v>
      </c>
    </row>
    <row r="627" spans="2:6" x14ac:dyDescent="0.25">
      <c r="B627" s="18" t="s">
        <v>25</v>
      </c>
      <c r="C627" s="19">
        <f>40179+(3*365)</f>
        <v>41274</v>
      </c>
      <c r="D627" s="18" t="s">
        <v>78</v>
      </c>
      <c r="E627" s="18" t="s">
        <v>64</v>
      </c>
      <c r="F627" s="21">
        <v>6228</v>
      </c>
    </row>
    <row r="628" spans="2:6" x14ac:dyDescent="0.25">
      <c r="B628" s="18" t="s">
        <v>10</v>
      </c>
      <c r="C628" s="19">
        <f>40799+(3*365)</f>
        <v>41894</v>
      </c>
      <c r="D628" s="18" t="s">
        <v>65</v>
      </c>
      <c r="E628" s="18" t="s">
        <v>61</v>
      </c>
      <c r="F628" s="21">
        <v>114</v>
      </c>
    </row>
    <row r="629" spans="2:6" x14ac:dyDescent="0.25">
      <c r="B629" s="18" t="s">
        <v>21</v>
      </c>
      <c r="C629" s="19">
        <f>41179+(3*365)</f>
        <v>42274</v>
      </c>
      <c r="D629" s="18" t="s">
        <v>73</v>
      </c>
      <c r="E629" s="18" t="s">
        <v>61</v>
      </c>
      <c r="F629" s="21">
        <v>2072</v>
      </c>
    </row>
    <row r="630" spans="2:6" x14ac:dyDescent="0.25">
      <c r="B630" s="18" t="s">
        <v>18</v>
      </c>
      <c r="C630" s="19">
        <f>40714+(3*365)</f>
        <v>41809</v>
      </c>
      <c r="D630" s="18" t="s">
        <v>68</v>
      </c>
      <c r="E630" s="18" t="s">
        <v>64</v>
      </c>
      <c r="F630" s="21">
        <v>8136</v>
      </c>
    </row>
    <row r="631" spans="2:6" x14ac:dyDescent="0.25">
      <c r="B631" s="18" t="s">
        <v>25</v>
      </c>
      <c r="C631" s="19">
        <f>40459+(3*365)</f>
        <v>41554</v>
      </c>
      <c r="D631" s="18" t="s">
        <v>78</v>
      </c>
      <c r="E631" s="18" t="s">
        <v>64</v>
      </c>
      <c r="F631" s="21">
        <v>18927</v>
      </c>
    </row>
    <row r="632" spans="2:6" x14ac:dyDescent="0.25">
      <c r="B632" s="18" t="s">
        <v>31</v>
      </c>
      <c r="C632" s="19">
        <f>40154+(3*365)</f>
        <v>41249</v>
      </c>
      <c r="D632" s="18" t="s">
        <v>76</v>
      </c>
      <c r="E632" s="18" t="s">
        <v>75</v>
      </c>
      <c r="F632" s="21">
        <v>270</v>
      </c>
    </row>
    <row r="633" spans="2:6" x14ac:dyDescent="0.25">
      <c r="B633" s="18" t="s">
        <v>21</v>
      </c>
      <c r="C633" s="19">
        <f>40473+(3*365)</f>
        <v>41568</v>
      </c>
      <c r="D633" s="18" t="s">
        <v>73</v>
      </c>
      <c r="E633" s="18" t="s">
        <v>75</v>
      </c>
      <c r="F633" s="21">
        <v>312</v>
      </c>
    </row>
    <row r="634" spans="2:6" x14ac:dyDescent="0.25">
      <c r="B634" s="18" t="s">
        <v>18</v>
      </c>
      <c r="C634" s="19">
        <f>40375+(3*365)</f>
        <v>41470</v>
      </c>
      <c r="D634" s="18" t="s">
        <v>68</v>
      </c>
      <c r="E634" s="18" t="s">
        <v>59</v>
      </c>
      <c r="F634" s="21">
        <v>300</v>
      </c>
    </row>
    <row r="635" spans="2:6" x14ac:dyDescent="0.25">
      <c r="B635" s="18" t="s">
        <v>31</v>
      </c>
      <c r="C635" s="19">
        <f>40642+(3*365)</f>
        <v>41737</v>
      </c>
      <c r="D635" s="18" t="s">
        <v>76</v>
      </c>
      <c r="E635" s="18" t="s">
        <v>61</v>
      </c>
      <c r="F635" s="21">
        <v>384</v>
      </c>
    </row>
    <row r="636" spans="2:6" x14ac:dyDescent="0.25">
      <c r="B636" s="18" t="s">
        <v>11</v>
      </c>
      <c r="C636" s="19">
        <f>41266+(3*365)</f>
        <v>42361</v>
      </c>
      <c r="D636" s="18" t="s">
        <v>60</v>
      </c>
      <c r="E636" s="18" t="s">
        <v>59</v>
      </c>
      <c r="F636" s="21">
        <v>552</v>
      </c>
    </row>
    <row r="637" spans="2:6" x14ac:dyDescent="0.25">
      <c r="B637" s="18" t="s">
        <v>31</v>
      </c>
      <c r="C637" s="19">
        <f>40438+(3*365)</f>
        <v>41533</v>
      </c>
      <c r="D637" s="18" t="s">
        <v>76</v>
      </c>
      <c r="E637" s="18" t="s">
        <v>66</v>
      </c>
      <c r="F637" s="21">
        <v>234</v>
      </c>
    </row>
    <row r="638" spans="2:6" x14ac:dyDescent="0.25">
      <c r="B638" s="18" t="s">
        <v>18</v>
      </c>
      <c r="C638" s="19">
        <f>40093+(3*365)</f>
        <v>41188</v>
      </c>
      <c r="D638" s="18" t="s">
        <v>71</v>
      </c>
      <c r="E638" s="18" t="s">
        <v>63</v>
      </c>
      <c r="F638" s="21">
        <v>336</v>
      </c>
    </row>
    <row r="639" spans="2:6" x14ac:dyDescent="0.25">
      <c r="B639" s="18" t="s">
        <v>10</v>
      </c>
      <c r="C639" s="19">
        <f>40274+(3*365)</f>
        <v>41369</v>
      </c>
      <c r="D639" s="18" t="s">
        <v>67</v>
      </c>
      <c r="E639" s="18" t="s">
        <v>75</v>
      </c>
      <c r="F639" s="21">
        <v>837</v>
      </c>
    </row>
    <row r="640" spans="2:6" x14ac:dyDescent="0.25">
      <c r="B640" s="18" t="s">
        <v>21</v>
      </c>
      <c r="C640" s="19">
        <f>39898+(3*365)</f>
        <v>40993</v>
      </c>
      <c r="D640" s="18" t="s">
        <v>73</v>
      </c>
      <c r="E640" s="18" t="s">
        <v>61</v>
      </c>
      <c r="F640" s="21">
        <v>378</v>
      </c>
    </row>
    <row r="641" spans="2:6" x14ac:dyDescent="0.25">
      <c r="B641" s="18" t="s">
        <v>10</v>
      </c>
      <c r="C641" s="19">
        <f>40493+(3*365)</f>
        <v>41588</v>
      </c>
      <c r="D641" s="18" t="s">
        <v>67</v>
      </c>
      <c r="E641" s="18" t="s">
        <v>59</v>
      </c>
      <c r="F641" s="21">
        <v>540</v>
      </c>
    </row>
    <row r="642" spans="2:6" x14ac:dyDescent="0.25">
      <c r="B642" s="18" t="s">
        <v>11</v>
      </c>
      <c r="C642" s="19">
        <f>40953+(3*365)</f>
        <v>42048</v>
      </c>
      <c r="D642" s="18" t="s">
        <v>74</v>
      </c>
      <c r="E642" s="18" t="s">
        <v>61</v>
      </c>
      <c r="F642" s="21">
        <v>780</v>
      </c>
    </row>
    <row r="643" spans="2:6" x14ac:dyDescent="0.25">
      <c r="B643" s="18" t="s">
        <v>25</v>
      </c>
      <c r="C643" s="19">
        <f>40242+(3*365)</f>
        <v>41337</v>
      </c>
      <c r="D643" s="18" t="s">
        <v>79</v>
      </c>
      <c r="E643" s="18" t="s">
        <v>75</v>
      </c>
      <c r="F643" s="21">
        <v>60</v>
      </c>
    </row>
    <row r="644" spans="2:6" x14ac:dyDescent="0.25">
      <c r="B644" s="18" t="s">
        <v>11</v>
      </c>
      <c r="C644" s="19">
        <f>40155+(3*365)</f>
        <v>41250</v>
      </c>
      <c r="D644" s="18" t="s">
        <v>60</v>
      </c>
      <c r="E644" s="18" t="s">
        <v>63</v>
      </c>
      <c r="F644" s="21">
        <v>1200</v>
      </c>
    </row>
    <row r="645" spans="2:6" x14ac:dyDescent="0.25">
      <c r="B645" s="18" t="s">
        <v>21</v>
      </c>
      <c r="C645" s="19">
        <f>40721+(3*365)</f>
        <v>41816</v>
      </c>
      <c r="D645" s="18" t="s">
        <v>58</v>
      </c>
      <c r="E645" s="18" t="s">
        <v>63</v>
      </c>
      <c r="F645" s="21">
        <v>60</v>
      </c>
    </row>
    <row r="646" spans="2:6" x14ac:dyDescent="0.25">
      <c r="B646" s="18" t="s">
        <v>18</v>
      </c>
      <c r="C646" s="19">
        <f>40545+(3*365)</f>
        <v>41640</v>
      </c>
      <c r="D646" s="18" t="s">
        <v>71</v>
      </c>
      <c r="E646" s="18" t="s">
        <v>69</v>
      </c>
      <c r="F646" s="21">
        <v>1800</v>
      </c>
    </row>
    <row r="647" spans="2:6" x14ac:dyDescent="0.25">
      <c r="B647" s="18" t="s">
        <v>31</v>
      </c>
      <c r="C647" s="19">
        <f>40994+(3*365)</f>
        <v>42089</v>
      </c>
      <c r="D647" s="18" t="s">
        <v>70</v>
      </c>
      <c r="E647" s="18" t="s">
        <v>69</v>
      </c>
      <c r="F647" s="21">
        <v>636</v>
      </c>
    </row>
    <row r="648" spans="2:6" x14ac:dyDescent="0.25">
      <c r="B648" s="18" t="s">
        <v>10</v>
      </c>
      <c r="C648" s="19">
        <f>39911+(3*365)</f>
        <v>41006</v>
      </c>
      <c r="D648" s="18" t="s">
        <v>67</v>
      </c>
      <c r="E648" s="18" t="s">
        <v>64</v>
      </c>
      <c r="F648" s="21">
        <v>14680</v>
      </c>
    </row>
    <row r="649" spans="2:6" x14ac:dyDescent="0.25">
      <c r="B649" s="18" t="s">
        <v>21</v>
      </c>
      <c r="C649" s="19">
        <f>40741+(3*365)</f>
        <v>41836</v>
      </c>
      <c r="D649" s="18" t="s">
        <v>58</v>
      </c>
      <c r="E649" s="18" t="s">
        <v>75</v>
      </c>
      <c r="F649" s="21">
        <v>90</v>
      </c>
    </row>
    <row r="650" spans="2:6" x14ac:dyDescent="0.25">
      <c r="B650" s="18" t="s">
        <v>25</v>
      </c>
      <c r="C650" s="19">
        <f>40259+(3*365)</f>
        <v>41354</v>
      </c>
      <c r="D650" s="18" t="s">
        <v>78</v>
      </c>
      <c r="E650" s="18" t="s">
        <v>72</v>
      </c>
      <c r="F650" s="21">
        <v>4266</v>
      </c>
    </row>
    <row r="651" spans="2:6" x14ac:dyDescent="0.25">
      <c r="B651" s="18" t="s">
        <v>8</v>
      </c>
      <c r="C651" s="19">
        <f>40994+(3*365)</f>
        <v>42089</v>
      </c>
      <c r="D651" s="18" t="s">
        <v>77</v>
      </c>
      <c r="E651" s="18" t="s">
        <v>66</v>
      </c>
      <c r="F651" s="21">
        <v>2464</v>
      </c>
    </row>
    <row r="652" spans="2:6" x14ac:dyDescent="0.25">
      <c r="B652" s="18" t="s">
        <v>31</v>
      </c>
      <c r="C652" s="19">
        <f>40556+(3*365)</f>
        <v>41651</v>
      </c>
      <c r="D652" s="18" t="s">
        <v>76</v>
      </c>
      <c r="E652" s="18" t="s">
        <v>75</v>
      </c>
      <c r="F652" s="21">
        <v>1053</v>
      </c>
    </row>
    <row r="653" spans="2:6" x14ac:dyDescent="0.25">
      <c r="B653" s="18" t="s">
        <v>10</v>
      </c>
      <c r="C653" s="19">
        <f>40021+(3*365)</f>
        <v>41116</v>
      </c>
      <c r="D653" s="18" t="s">
        <v>67</v>
      </c>
      <c r="E653" s="18" t="s">
        <v>61</v>
      </c>
      <c r="F653" s="21">
        <v>1708</v>
      </c>
    </row>
    <row r="654" spans="2:6" x14ac:dyDescent="0.25">
      <c r="B654" s="18" t="s">
        <v>31</v>
      </c>
      <c r="C654" s="19">
        <f>41181+(3*365)</f>
        <v>42276</v>
      </c>
      <c r="D654" s="18" t="s">
        <v>76</v>
      </c>
      <c r="E654" s="18" t="s">
        <v>72</v>
      </c>
      <c r="F654" s="21">
        <v>765</v>
      </c>
    </row>
    <row r="655" spans="2:6" x14ac:dyDescent="0.25">
      <c r="B655" s="18" t="s">
        <v>21</v>
      </c>
      <c r="C655" s="19">
        <f>40992+(3*365)</f>
        <v>42087</v>
      </c>
      <c r="D655" s="18" t="s">
        <v>58</v>
      </c>
      <c r="E655" s="18" t="s">
        <v>63</v>
      </c>
      <c r="F655" s="21">
        <v>704</v>
      </c>
    </row>
    <row r="656" spans="2:6" x14ac:dyDescent="0.25">
      <c r="B656" s="18" t="s">
        <v>8</v>
      </c>
      <c r="C656" s="19">
        <f>40238+(3*365)</f>
        <v>41333</v>
      </c>
      <c r="D656" s="18" t="s">
        <v>77</v>
      </c>
      <c r="E656" s="18" t="s">
        <v>59</v>
      </c>
      <c r="F656" s="21">
        <v>368</v>
      </c>
    </row>
    <row r="657" spans="2:6" x14ac:dyDescent="0.25">
      <c r="B657" s="18" t="s">
        <v>10</v>
      </c>
      <c r="C657" s="19">
        <f>41080+(3*365)</f>
        <v>42175</v>
      </c>
      <c r="D657" s="18" t="s">
        <v>67</v>
      </c>
      <c r="E657" s="18" t="s">
        <v>59</v>
      </c>
      <c r="F657" s="21">
        <v>378</v>
      </c>
    </row>
    <row r="658" spans="2:6" x14ac:dyDescent="0.25">
      <c r="B658" s="18" t="s">
        <v>10</v>
      </c>
      <c r="C658" s="19">
        <f>40776+(3*365)</f>
        <v>41871</v>
      </c>
      <c r="D658" s="18" t="s">
        <v>65</v>
      </c>
      <c r="E658" s="18" t="s">
        <v>69</v>
      </c>
      <c r="F658" s="21">
        <v>2632</v>
      </c>
    </row>
    <row r="659" spans="2:6" x14ac:dyDescent="0.25">
      <c r="B659" s="18" t="s">
        <v>9</v>
      </c>
      <c r="C659" s="19">
        <f>39881+(3*365)</f>
        <v>40976</v>
      </c>
      <c r="D659" s="18" t="s">
        <v>62</v>
      </c>
      <c r="E659" s="18" t="s">
        <v>61</v>
      </c>
      <c r="F659" s="21">
        <v>640</v>
      </c>
    </row>
    <row r="660" spans="2:6" x14ac:dyDescent="0.25">
      <c r="B660" s="18" t="s">
        <v>25</v>
      </c>
      <c r="C660" s="19">
        <f>39829+(3*365)</f>
        <v>40924</v>
      </c>
      <c r="D660" s="18" t="s">
        <v>78</v>
      </c>
      <c r="E660" s="18" t="s">
        <v>59</v>
      </c>
      <c r="F660" s="21">
        <v>240</v>
      </c>
    </row>
    <row r="661" spans="2:6" x14ac:dyDescent="0.25">
      <c r="B661" s="18" t="s">
        <v>11</v>
      </c>
      <c r="C661" s="19">
        <f>40736+(3*365)</f>
        <v>41831</v>
      </c>
      <c r="D661" s="18" t="s">
        <v>60</v>
      </c>
      <c r="E661" s="18" t="s">
        <v>72</v>
      </c>
      <c r="F661" s="21">
        <v>2115</v>
      </c>
    </row>
    <row r="662" spans="2:6" x14ac:dyDescent="0.25">
      <c r="B662" s="18" t="s">
        <v>11</v>
      </c>
      <c r="C662" s="19">
        <f>40103+(3*365)</f>
        <v>41198</v>
      </c>
      <c r="D662" s="18" t="s">
        <v>74</v>
      </c>
      <c r="E662" s="18" t="s">
        <v>72</v>
      </c>
      <c r="F662" s="21">
        <v>4806</v>
      </c>
    </row>
    <row r="663" spans="2:6" x14ac:dyDescent="0.25">
      <c r="B663" s="18" t="s">
        <v>11</v>
      </c>
      <c r="C663" s="19">
        <f>41255+(3*365)</f>
        <v>42350</v>
      </c>
      <c r="D663" s="18" t="s">
        <v>60</v>
      </c>
      <c r="E663" s="18" t="s">
        <v>69</v>
      </c>
      <c r="F663" s="21">
        <v>2884</v>
      </c>
    </row>
    <row r="664" spans="2:6" x14ac:dyDescent="0.25">
      <c r="B664" s="18" t="s">
        <v>8</v>
      </c>
      <c r="C664" s="19">
        <f>41217+(3*365)</f>
        <v>42312</v>
      </c>
      <c r="D664" s="18" t="s">
        <v>81</v>
      </c>
      <c r="E664" s="18" t="s">
        <v>69</v>
      </c>
      <c r="F664" s="21">
        <v>5516</v>
      </c>
    </row>
    <row r="665" spans="2:6" x14ac:dyDescent="0.25">
      <c r="B665" s="18" t="s">
        <v>18</v>
      </c>
      <c r="C665" s="19">
        <f>40640+(3*365)</f>
        <v>41735</v>
      </c>
      <c r="D665" s="18" t="s">
        <v>68</v>
      </c>
      <c r="E665" s="18" t="s">
        <v>64</v>
      </c>
      <c r="F665" s="21">
        <v>6168</v>
      </c>
    </row>
    <row r="666" spans="2:6" x14ac:dyDescent="0.25">
      <c r="B666" s="18" t="s">
        <v>10</v>
      </c>
      <c r="C666" s="19">
        <f>40823+(3*365)</f>
        <v>41918</v>
      </c>
      <c r="D666" s="18" t="s">
        <v>67</v>
      </c>
      <c r="E666" s="18" t="s">
        <v>63</v>
      </c>
      <c r="F666" s="21">
        <v>282</v>
      </c>
    </row>
    <row r="667" spans="2:6" x14ac:dyDescent="0.25">
      <c r="B667" s="18" t="s">
        <v>31</v>
      </c>
      <c r="C667" s="19">
        <f>40960+(3*365)</f>
        <v>42055</v>
      </c>
      <c r="D667" s="18" t="s">
        <v>76</v>
      </c>
      <c r="E667" s="18" t="s">
        <v>61</v>
      </c>
      <c r="F667" s="21">
        <v>918</v>
      </c>
    </row>
    <row r="668" spans="2:6" x14ac:dyDescent="0.25">
      <c r="B668" s="18" t="s">
        <v>11</v>
      </c>
      <c r="C668" s="19">
        <f>41055+(3*365)</f>
        <v>42150</v>
      </c>
      <c r="D668" s="18" t="s">
        <v>74</v>
      </c>
      <c r="E668" s="18" t="s">
        <v>61</v>
      </c>
      <c r="F668" s="21">
        <v>224</v>
      </c>
    </row>
    <row r="669" spans="2:6" x14ac:dyDescent="0.25">
      <c r="B669" s="18" t="s">
        <v>21</v>
      </c>
      <c r="C669" s="19">
        <f>40628+(3*365)</f>
        <v>41723</v>
      </c>
      <c r="D669" s="18" t="s">
        <v>73</v>
      </c>
      <c r="E669" s="18" t="s">
        <v>64</v>
      </c>
      <c r="F669" s="21">
        <v>6696</v>
      </c>
    </row>
    <row r="670" spans="2:6" x14ac:dyDescent="0.25">
      <c r="B670" s="18" t="s">
        <v>11</v>
      </c>
      <c r="C670" s="19">
        <f>40279+(3*365)</f>
        <v>41374</v>
      </c>
      <c r="D670" s="18" t="s">
        <v>60</v>
      </c>
      <c r="E670" s="18" t="s">
        <v>75</v>
      </c>
      <c r="F670" s="21">
        <v>840</v>
      </c>
    </row>
    <row r="671" spans="2:6" x14ac:dyDescent="0.25">
      <c r="B671" s="18" t="s">
        <v>18</v>
      </c>
      <c r="C671" s="19">
        <f>40204+(3*365)</f>
        <v>41299</v>
      </c>
      <c r="D671" s="18" t="s">
        <v>68</v>
      </c>
      <c r="E671" s="18" t="s">
        <v>63</v>
      </c>
      <c r="F671" s="21">
        <v>1026</v>
      </c>
    </row>
    <row r="672" spans="2:6" x14ac:dyDescent="0.25">
      <c r="B672" s="18" t="s">
        <v>11</v>
      </c>
      <c r="C672" s="19">
        <f>40842+(3*365)</f>
        <v>41937</v>
      </c>
      <c r="D672" s="18" t="s">
        <v>60</v>
      </c>
      <c r="E672" s="18" t="s">
        <v>61</v>
      </c>
      <c r="F672" s="21">
        <v>1128</v>
      </c>
    </row>
    <row r="673" spans="2:6" x14ac:dyDescent="0.25">
      <c r="B673" s="18" t="s">
        <v>10</v>
      </c>
      <c r="C673" s="19">
        <f>40224+(3*365)</f>
        <v>41319</v>
      </c>
      <c r="D673" s="18" t="s">
        <v>65</v>
      </c>
      <c r="E673" s="18" t="s">
        <v>66</v>
      </c>
      <c r="F673" s="21">
        <v>1068</v>
      </c>
    </row>
    <row r="674" spans="2:6" x14ac:dyDescent="0.25">
      <c r="B674" s="18" t="s">
        <v>10</v>
      </c>
      <c r="C674" s="19">
        <f>40545+(3*365)</f>
        <v>41640</v>
      </c>
      <c r="D674" s="18" t="s">
        <v>65</v>
      </c>
      <c r="E674" s="18" t="s">
        <v>64</v>
      </c>
      <c r="F674" s="21">
        <v>7712</v>
      </c>
    </row>
    <row r="675" spans="2:6" x14ac:dyDescent="0.25">
      <c r="B675" s="18" t="s">
        <v>10</v>
      </c>
      <c r="C675" s="19">
        <f>40647+(3*365)</f>
        <v>41742</v>
      </c>
      <c r="D675" s="18" t="s">
        <v>65</v>
      </c>
      <c r="E675" s="18" t="s">
        <v>63</v>
      </c>
      <c r="F675" s="21">
        <v>192</v>
      </c>
    </row>
    <row r="676" spans="2:6" x14ac:dyDescent="0.25">
      <c r="B676" s="18" t="s">
        <v>21</v>
      </c>
      <c r="C676" s="19">
        <f>40685+(3*365)</f>
        <v>41780</v>
      </c>
      <c r="D676" s="18" t="s">
        <v>73</v>
      </c>
      <c r="E676" s="18" t="s">
        <v>69</v>
      </c>
      <c r="F676" s="21">
        <v>2160</v>
      </c>
    </row>
    <row r="677" spans="2:6" x14ac:dyDescent="0.25">
      <c r="B677" s="18" t="s">
        <v>25</v>
      </c>
      <c r="C677" s="19">
        <f>40830+(3*365)</f>
        <v>41925</v>
      </c>
      <c r="D677" s="18" t="s">
        <v>78</v>
      </c>
      <c r="E677" s="18" t="s">
        <v>59</v>
      </c>
      <c r="F677" s="21">
        <v>476</v>
      </c>
    </row>
    <row r="678" spans="2:6" x14ac:dyDescent="0.25">
      <c r="B678" s="18" t="s">
        <v>10</v>
      </c>
      <c r="C678" s="19">
        <f>40044+(3*365)</f>
        <v>41139</v>
      </c>
      <c r="D678" s="18" t="s">
        <v>67</v>
      </c>
      <c r="E678" s="18" t="s">
        <v>61</v>
      </c>
      <c r="F678" s="21">
        <v>2368</v>
      </c>
    </row>
    <row r="679" spans="2:6" x14ac:dyDescent="0.25">
      <c r="B679" s="18" t="s">
        <v>8</v>
      </c>
      <c r="C679" s="19">
        <f>40671+(3*365)</f>
        <v>41766</v>
      </c>
      <c r="D679" s="18" t="s">
        <v>77</v>
      </c>
      <c r="E679" s="18" t="s">
        <v>75</v>
      </c>
      <c r="F679" s="21">
        <v>504</v>
      </c>
    </row>
    <row r="680" spans="2:6" x14ac:dyDescent="0.25">
      <c r="B680" s="18" t="s">
        <v>21</v>
      </c>
      <c r="C680" s="19">
        <f>40891+(3*365)</f>
        <v>41986</v>
      </c>
      <c r="D680" s="18" t="s">
        <v>73</v>
      </c>
      <c r="E680" s="18" t="s">
        <v>69</v>
      </c>
      <c r="F680" s="21">
        <v>3330</v>
      </c>
    </row>
    <row r="681" spans="2:6" x14ac:dyDescent="0.25">
      <c r="B681" s="18" t="s">
        <v>21</v>
      </c>
      <c r="C681" s="19">
        <f>40150+(3*365)</f>
        <v>41245</v>
      </c>
      <c r="D681" s="18" t="s">
        <v>73</v>
      </c>
      <c r="E681" s="18" t="s">
        <v>61</v>
      </c>
      <c r="F681" s="21">
        <v>48</v>
      </c>
    </row>
    <row r="682" spans="2:6" x14ac:dyDescent="0.25">
      <c r="B682" s="18" t="s">
        <v>21</v>
      </c>
      <c r="C682" s="19">
        <f>40415+(3*365)</f>
        <v>41510</v>
      </c>
      <c r="D682" s="18" t="s">
        <v>58</v>
      </c>
      <c r="E682" s="18" t="s">
        <v>72</v>
      </c>
      <c r="F682" s="21">
        <v>420</v>
      </c>
    </row>
    <row r="683" spans="2:6" x14ac:dyDescent="0.25">
      <c r="B683" s="18" t="s">
        <v>25</v>
      </c>
      <c r="C683" s="19">
        <f>40682+(3*365)</f>
        <v>41777</v>
      </c>
      <c r="D683" s="18" t="s">
        <v>78</v>
      </c>
      <c r="E683" s="18" t="s">
        <v>75</v>
      </c>
      <c r="F683" s="21">
        <v>152</v>
      </c>
    </row>
    <row r="684" spans="2:6" x14ac:dyDescent="0.25">
      <c r="B684" s="18" t="s">
        <v>10</v>
      </c>
      <c r="C684" s="19">
        <f>40806+(3*365)</f>
        <v>41901</v>
      </c>
      <c r="D684" s="18" t="s">
        <v>65</v>
      </c>
      <c r="E684" s="18" t="s">
        <v>59</v>
      </c>
      <c r="F684" s="21">
        <v>320</v>
      </c>
    </row>
    <row r="685" spans="2:6" x14ac:dyDescent="0.25">
      <c r="B685" s="18" t="s">
        <v>10</v>
      </c>
      <c r="C685" s="19">
        <f>41150+(3*365)</f>
        <v>42245</v>
      </c>
      <c r="D685" s="18" t="s">
        <v>65</v>
      </c>
      <c r="E685" s="18" t="s">
        <v>64</v>
      </c>
      <c r="F685" s="21">
        <v>9720</v>
      </c>
    </row>
    <row r="686" spans="2:6" x14ac:dyDescent="0.25">
      <c r="B686" s="18" t="s">
        <v>25</v>
      </c>
      <c r="C686" s="19">
        <f>40561+(3*365)</f>
        <v>41656</v>
      </c>
      <c r="D686" s="18" t="s">
        <v>79</v>
      </c>
      <c r="E686" s="18" t="s">
        <v>59</v>
      </c>
      <c r="F686" s="21">
        <v>288</v>
      </c>
    </row>
    <row r="687" spans="2:6" x14ac:dyDescent="0.25">
      <c r="B687" s="18" t="s">
        <v>31</v>
      </c>
      <c r="C687" s="19">
        <f>39846+(3*365)</f>
        <v>40941</v>
      </c>
      <c r="D687" s="18" t="s">
        <v>76</v>
      </c>
      <c r="E687" s="18" t="s">
        <v>72</v>
      </c>
      <c r="F687" s="21">
        <v>3717</v>
      </c>
    </row>
    <row r="688" spans="2:6" x14ac:dyDescent="0.25">
      <c r="B688" s="18" t="s">
        <v>18</v>
      </c>
      <c r="C688" s="19">
        <f>40326+(3*365)</f>
        <v>41421</v>
      </c>
      <c r="D688" s="18" t="s">
        <v>68</v>
      </c>
      <c r="E688" s="18" t="s">
        <v>72</v>
      </c>
      <c r="F688" s="21">
        <v>1548</v>
      </c>
    </row>
    <row r="689" spans="2:6" x14ac:dyDescent="0.25">
      <c r="B689" s="18" t="s">
        <v>10</v>
      </c>
      <c r="C689" s="19">
        <f>40322+(3*365)</f>
        <v>41417</v>
      </c>
      <c r="D689" s="18" t="s">
        <v>65</v>
      </c>
      <c r="E689" s="18" t="s">
        <v>64</v>
      </c>
      <c r="F689" s="21">
        <v>17088</v>
      </c>
    </row>
    <row r="690" spans="2:6" x14ac:dyDescent="0.25">
      <c r="B690" s="18" t="s">
        <v>8</v>
      </c>
      <c r="C690" s="19">
        <f>40177+(3*365)</f>
        <v>41272</v>
      </c>
      <c r="D690" s="18" t="s">
        <v>81</v>
      </c>
      <c r="E690" s="18" t="s">
        <v>61</v>
      </c>
      <c r="F690" s="21">
        <v>711</v>
      </c>
    </row>
    <row r="691" spans="2:6" x14ac:dyDescent="0.25">
      <c r="B691" s="18" t="s">
        <v>18</v>
      </c>
      <c r="C691" s="19">
        <f>40498+(3*365)</f>
        <v>41593</v>
      </c>
      <c r="D691" s="18" t="s">
        <v>71</v>
      </c>
      <c r="E691" s="18" t="s">
        <v>59</v>
      </c>
      <c r="F691" s="21">
        <v>84</v>
      </c>
    </row>
    <row r="692" spans="2:6" x14ac:dyDescent="0.25">
      <c r="B692" s="18" t="s">
        <v>9</v>
      </c>
      <c r="C692" s="19">
        <f>40953+(3*365)</f>
        <v>42048</v>
      </c>
      <c r="D692" s="18" t="s">
        <v>62</v>
      </c>
      <c r="E692" s="18" t="s">
        <v>72</v>
      </c>
      <c r="F692" s="21">
        <v>1120</v>
      </c>
    </row>
    <row r="693" spans="2:6" x14ac:dyDescent="0.25">
      <c r="B693" s="18" t="s">
        <v>25</v>
      </c>
      <c r="C693" s="19">
        <f>40798+(3*365)</f>
        <v>41893</v>
      </c>
      <c r="D693" s="18" t="s">
        <v>79</v>
      </c>
      <c r="E693" s="18" t="s">
        <v>64</v>
      </c>
      <c r="F693" s="21">
        <v>8484</v>
      </c>
    </row>
    <row r="694" spans="2:6" x14ac:dyDescent="0.25">
      <c r="B694" s="18" t="s">
        <v>21</v>
      </c>
      <c r="C694" s="19">
        <f>40861+(3*365)</f>
        <v>41956</v>
      </c>
      <c r="D694" s="18" t="s">
        <v>58</v>
      </c>
      <c r="E694" s="18" t="s">
        <v>75</v>
      </c>
      <c r="F694" s="21">
        <v>120</v>
      </c>
    </row>
    <row r="695" spans="2:6" x14ac:dyDescent="0.25">
      <c r="B695" s="18" t="s">
        <v>11</v>
      </c>
      <c r="C695" s="19">
        <f>40276+(3*365)</f>
        <v>41371</v>
      </c>
      <c r="D695" s="18" t="s">
        <v>74</v>
      </c>
      <c r="E695" s="18" t="s">
        <v>72</v>
      </c>
      <c r="F695" s="21">
        <v>1539</v>
      </c>
    </row>
    <row r="696" spans="2:6" x14ac:dyDescent="0.25">
      <c r="B696" s="18" t="s">
        <v>9</v>
      </c>
      <c r="C696" s="19">
        <f>40493+(3*365)</f>
        <v>41588</v>
      </c>
      <c r="D696" s="18" t="s">
        <v>62</v>
      </c>
      <c r="E696" s="18" t="s">
        <v>66</v>
      </c>
      <c r="F696" s="21">
        <v>954</v>
      </c>
    </row>
    <row r="697" spans="2:6" x14ac:dyDescent="0.25">
      <c r="B697" s="18" t="s">
        <v>10</v>
      </c>
      <c r="C697" s="19">
        <f>40480+(3*365)</f>
        <v>41575</v>
      </c>
      <c r="D697" s="18" t="s">
        <v>67</v>
      </c>
      <c r="E697" s="18" t="s">
        <v>66</v>
      </c>
      <c r="F697" s="21">
        <v>600</v>
      </c>
    </row>
    <row r="698" spans="2:6" x14ac:dyDescent="0.25">
      <c r="B698" s="18" t="s">
        <v>10</v>
      </c>
      <c r="C698" s="19">
        <f>40298+(3*365)</f>
        <v>41393</v>
      </c>
      <c r="D698" s="18" t="s">
        <v>65</v>
      </c>
      <c r="E698" s="18" t="s">
        <v>59</v>
      </c>
      <c r="F698" s="21">
        <v>375</v>
      </c>
    </row>
    <row r="699" spans="2:6" x14ac:dyDescent="0.25">
      <c r="B699" s="18" t="s">
        <v>9</v>
      </c>
      <c r="C699" s="19">
        <f>41214+(3*365)</f>
        <v>42309</v>
      </c>
      <c r="D699" s="18" t="s">
        <v>62</v>
      </c>
      <c r="E699" s="18" t="s">
        <v>59</v>
      </c>
      <c r="F699" s="21">
        <v>52</v>
      </c>
    </row>
    <row r="700" spans="2:6" x14ac:dyDescent="0.25">
      <c r="B700" s="18" t="s">
        <v>21</v>
      </c>
      <c r="C700" s="19">
        <f>41123+(3*365)</f>
        <v>42218</v>
      </c>
      <c r="D700" s="18" t="s">
        <v>73</v>
      </c>
      <c r="E700" s="18" t="s">
        <v>61</v>
      </c>
      <c r="F700" s="21">
        <v>384</v>
      </c>
    </row>
    <row r="701" spans="2:6" x14ac:dyDescent="0.25">
      <c r="B701" s="18" t="s">
        <v>8</v>
      </c>
      <c r="C701" s="19">
        <f>40813+(3*365)</f>
        <v>41908</v>
      </c>
      <c r="D701" s="18" t="s">
        <v>77</v>
      </c>
      <c r="E701" s="18" t="s">
        <v>72</v>
      </c>
      <c r="F701" s="21">
        <v>2072</v>
      </c>
    </row>
    <row r="702" spans="2:6" x14ac:dyDescent="0.25">
      <c r="B702" s="18" t="s">
        <v>31</v>
      </c>
      <c r="C702" s="19">
        <f>40429+(3*365)</f>
        <v>41524</v>
      </c>
      <c r="D702" s="18" t="s">
        <v>70</v>
      </c>
      <c r="E702" s="18" t="s">
        <v>61</v>
      </c>
      <c r="F702" s="21">
        <v>240</v>
      </c>
    </row>
    <row r="703" spans="2:6" x14ac:dyDescent="0.25">
      <c r="B703" s="18" t="s">
        <v>9</v>
      </c>
      <c r="C703" s="19">
        <f>40220+(3*365)</f>
        <v>41315</v>
      </c>
      <c r="D703" s="18" t="s">
        <v>80</v>
      </c>
      <c r="E703" s="18" t="s">
        <v>66</v>
      </c>
      <c r="F703" s="21">
        <v>370</v>
      </c>
    </row>
    <row r="704" spans="2:6" x14ac:dyDescent="0.25">
      <c r="B704" s="18" t="s">
        <v>18</v>
      </c>
      <c r="C704" s="19">
        <f>40433+(3*365)</f>
        <v>41528</v>
      </c>
      <c r="D704" s="18" t="s">
        <v>71</v>
      </c>
      <c r="E704" s="18" t="s">
        <v>61</v>
      </c>
      <c r="F704" s="21">
        <v>1485</v>
      </c>
    </row>
    <row r="705" spans="2:6" x14ac:dyDescent="0.25">
      <c r="B705" s="18" t="s">
        <v>25</v>
      </c>
      <c r="C705" s="19">
        <f>40023+(3*365)</f>
        <v>41118</v>
      </c>
      <c r="D705" s="18" t="s">
        <v>79</v>
      </c>
      <c r="E705" s="18" t="s">
        <v>61</v>
      </c>
      <c r="F705" s="21">
        <v>752</v>
      </c>
    </row>
    <row r="706" spans="2:6" x14ac:dyDescent="0.25">
      <c r="B706" s="18" t="s">
        <v>8</v>
      </c>
      <c r="C706" s="19">
        <f>40863+(3*365)</f>
        <v>41958</v>
      </c>
      <c r="D706" s="18" t="s">
        <v>81</v>
      </c>
      <c r="E706" s="18" t="s">
        <v>69</v>
      </c>
      <c r="F706" s="21">
        <v>5404</v>
      </c>
    </row>
    <row r="707" spans="2:6" x14ac:dyDescent="0.25">
      <c r="B707" s="18" t="s">
        <v>11</v>
      </c>
      <c r="C707" s="19">
        <f>40456+(3*365)</f>
        <v>41551</v>
      </c>
      <c r="D707" s="18" t="s">
        <v>60</v>
      </c>
      <c r="E707" s="18" t="s">
        <v>63</v>
      </c>
      <c r="F707" s="21">
        <v>621</v>
      </c>
    </row>
    <row r="708" spans="2:6" x14ac:dyDescent="0.25">
      <c r="B708" s="18" t="s">
        <v>10</v>
      </c>
      <c r="C708" s="19">
        <f>41107+(3*365)</f>
        <v>42202</v>
      </c>
      <c r="D708" s="18" t="s">
        <v>65</v>
      </c>
      <c r="E708" s="18" t="s">
        <v>69</v>
      </c>
      <c r="F708" s="21">
        <v>1170</v>
      </c>
    </row>
    <row r="709" spans="2:6" x14ac:dyDescent="0.25">
      <c r="B709" s="18" t="s">
        <v>31</v>
      </c>
      <c r="C709" s="19">
        <f>39960+(3*365)</f>
        <v>41055</v>
      </c>
      <c r="D709" s="18" t="s">
        <v>76</v>
      </c>
      <c r="E709" s="18" t="s">
        <v>72</v>
      </c>
      <c r="F709" s="21">
        <v>1188</v>
      </c>
    </row>
    <row r="710" spans="2:6" x14ac:dyDescent="0.25">
      <c r="B710" s="18" t="s">
        <v>25</v>
      </c>
      <c r="C710" s="19">
        <f>40861+(3*365)</f>
        <v>41956</v>
      </c>
      <c r="D710" s="18" t="s">
        <v>78</v>
      </c>
      <c r="E710" s="18" t="s">
        <v>72</v>
      </c>
      <c r="F710" s="21">
        <v>3460</v>
      </c>
    </row>
    <row r="711" spans="2:6" x14ac:dyDescent="0.25">
      <c r="B711" s="18" t="s">
        <v>11</v>
      </c>
      <c r="C711" s="19">
        <f>40171+(3*365)</f>
        <v>41266</v>
      </c>
      <c r="D711" s="18" t="s">
        <v>74</v>
      </c>
      <c r="E711" s="18" t="s">
        <v>75</v>
      </c>
      <c r="F711" s="21">
        <v>594</v>
      </c>
    </row>
    <row r="712" spans="2:6" x14ac:dyDescent="0.25">
      <c r="B712" s="18" t="s">
        <v>21</v>
      </c>
      <c r="C712" s="19">
        <f>40753+(3*365)</f>
        <v>41848</v>
      </c>
      <c r="D712" s="18" t="s">
        <v>73</v>
      </c>
      <c r="E712" s="18" t="s">
        <v>72</v>
      </c>
      <c r="F712" s="21">
        <v>1410</v>
      </c>
    </row>
    <row r="713" spans="2:6" x14ac:dyDescent="0.25">
      <c r="B713" s="18" t="s">
        <v>10</v>
      </c>
      <c r="C713" s="19">
        <f>39845+(3*365)</f>
        <v>40940</v>
      </c>
      <c r="D713" s="18" t="s">
        <v>65</v>
      </c>
      <c r="E713" s="18" t="s">
        <v>66</v>
      </c>
      <c r="F713" s="21">
        <v>980</v>
      </c>
    </row>
    <row r="714" spans="2:6" x14ac:dyDescent="0.25">
      <c r="B714" s="18" t="s">
        <v>8</v>
      </c>
      <c r="C714" s="19">
        <f>40521+(3*365)</f>
        <v>41616</v>
      </c>
      <c r="D714" s="18" t="s">
        <v>81</v>
      </c>
      <c r="E714" s="18" t="s">
        <v>72</v>
      </c>
      <c r="F714" s="21">
        <v>2912</v>
      </c>
    </row>
    <row r="715" spans="2:6" x14ac:dyDescent="0.25">
      <c r="B715" s="18" t="s">
        <v>25</v>
      </c>
      <c r="C715" s="19">
        <f>40791+(3*365)</f>
        <v>41886</v>
      </c>
      <c r="D715" s="18" t="s">
        <v>79</v>
      </c>
      <c r="E715" s="18" t="s">
        <v>61</v>
      </c>
      <c r="F715" s="21">
        <v>576</v>
      </c>
    </row>
    <row r="716" spans="2:6" x14ac:dyDescent="0.25">
      <c r="B716" s="18" t="s">
        <v>10</v>
      </c>
      <c r="C716" s="19">
        <f>40369+(3*365)</f>
        <v>41464</v>
      </c>
      <c r="D716" s="18" t="s">
        <v>65</v>
      </c>
      <c r="E716" s="18" t="s">
        <v>64</v>
      </c>
      <c r="F716" s="21">
        <v>4128</v>
      </c>
    </row>
    <row r="717" spans="2:6" x14ac:dyDescent="0.25">
      <c r="B717" s="18" t="s">
        <v>25</v>
      </c>
      <c r="C717" s="19">
        <f>40741+(3*365)</f>
        <v>41836</v>
      </c>
      <c r="D717" s="18" t="s">
        <v>79</v>
      </c>
      <c r="E717" s="18" t="s">
        <v>61</v>
      </c>
      <c r="F717" s="21">
        <v>640</v>
      </c>
    </row>
    <row r="718" spans="2:6" x14ac:dyDescent="0.25">
      <c r="B718" s="18" t="s">
        <v>21</v>
      </c>
      <c r="C718" s="19">
        <f>40067+(3*365)</f>
        <v>41162</v>
      </c>
      <c r="D718" s="18" t="s">
        <v>73</v>
      </c>
      <c r="E718" s="18" t="s">
        <v>75</v>
      </c>
      <c r="F718" s="21">
        <v>100</v>
      </c>
    </row>
    <row r="719" spans="2:6" x14ac:dyDescent="0.25">
      <c r="B719" s="18" t="s">
        <v>21</v>
      </c>
      <c r="C719" s="19">
        <f>40476+(3*365)</f>
        <v>41571</v>
      </c>
      <c r="D719" s="18" t="s">
        <v>58</v>
      </c>
      <c r="E719" s="18" t="s">
        <v>59</v>
      </c>
      <c r="F719" s="21">
        <v>162</v>
      </c>
    </row>
    <row r="720" spans="2:6" x14ac:dyDescent="0.25">
      <c r="B720" s="18" t="s">
        <v>9</v>
      </c>
      <c r="C720" s="19">
        <f>39921+(3*365)</f>
        <v>41016</v>
      </c>
      <c r="D720" s="18" t="s">
        <v>62</v>
      </c>
      <c r="E720" s="18" t="s">
        <v>69</v>
      </c>
      <c r="F720" s="21">
        <v>242</v>
      </c>
    </row>
    <row r="721" spans="2:6" x14ac:dyDescent="0.25">
      <c r="B721" s="18" t="s">
        <v>21</v>
      </c>
      <c r="C721" s="19">
        <f>39931+(3*365)</f>
        <v>41026</v>
      </c>
      <c r="D721" s="18" t="s">
        <v>58</v>
      </c>
      <c r="E721" s="18" t="s">
        <v>69</v>
      </c>
      <c r="F721" s="21">
        <v>262</v>
      </c>
    </row>
    <row r="722" spans="2:6" x14ac:dyDescent="0.25">
      <c r="B722" s="18" t="s">
        <v>31</v>
      </c>
      <c r="C722" s="19">
        <f>40453+(3*365)</f>
        <v>41548</v>
      </c>
      <c r="D722" s="18" t="s">
        <v>70</v>
      </c>
      <c r="E722" s="18" t="s">
        <v>69</v>
      </c>
      <c r="F722" s="21">
        <v>732</v>
      </c>
    </row>
    <row r="723" spans="2:6" x14ac:dyDescent="0.25">
      <c r="B723" s="18" t="s">
        <v>9</v>
      </c>
      <c r="C723" s="19">
        <f>40617+(3*365)</f>
        <v>41712</v>
      </c>
      <c r="D723" s="18" t="s">
        <v>62</v>
      </c>
      <c r="E723" s="18" t="s">
        <v>75</v>
      </c>
      <c r="F723" s="21">
        <v>228</v>
      </c>
    </row>
    <row r="724" spans="2:6" x14ac:dyDescent="0.25">
      <c r="B724" s="18" t="s">
        <v>9</v>
      </c>
      <c r="C724" s="19">
        <f>40095+(3*365)</f>
        <v>41190</v>
      </c>
      <c r="D724" s="18" t="s">
        <v>80</v>
      </c>
      <c r="E724" s="18" t="s">
        <v>72</v>
      </c>
      <c r="F724" s="21">
        <v>400</v>
      </c>
    </row>
    <row r="725" spans="2:6" x14ac:dyDescent="0.25">
      <c r="B725" s="18" t="s">
        <v>31</v>
      </c>
      <c r="C725" s="19">
        <f>40038+(3*365)</f>
        <v>41133</v>
      </c>
      <c r="D725" s="18" t="s">
        <v>70</v>
      </c>
      <c r="E725" s="18" t="s">
        <v>63</v>
      </c>
      <c r="F725" s="21">
        <v>183</v>
      </c>
    </row>
    <row r="726" spans="2:6" x14ac:dyDescent="0.25">
      <c r="B726" s="18" t="s">
        <v>11</v>
      </c>
      <c r="C726" s="19">
        <f>40306+(3*365)</f>
        <v>41401</v>
      </c>
      <c r="D726" s="18" t="s">
        <v>74</v>
      </c>
      <c r="E726" s="18" t="s">
        <v>63</v>
      </c>
      <c r="F726" s="21">
        <v>987</v>
      </c>
    </row>
    <row r="727" spans="2:6" x14ac:dyDescent="0.25">
      <c r="B727" s="18" t="s">
        <v>11</v>
      </c>
      <c r="C727" s="19">
        <f>40702+(3*365)</f>
        <v>41797</v>
      </c>
      <c r="D727" s="18" t="s">
        <v>74</v>
      </c>
      <c r="E727" s="18" t="s">
        <v>69</v>
      </c>
      <c r="F727" s="21">
        <v>3294</v>
      </c>
    </row>
    <row r="728" spans="2:6" x14ac:dyDescent="0.25">
      <c r="B728" s="18" t="s">
        <v>25</v>
      </c>
      <c r="C728" s="19">
        <f>39919+(3*365)</f>
        <v>41014</v>
      </c>
      <c r="D728" s="18" t="s">
        <v>78</v>
      </c>
      <c r="E728" s="18" t="s">
        <v>63</v>
      </c>
      <c r="F728" s="21">
        <v>300</v>
      </c>
    </row>
    <row r="729" spans="2:6" x14ac:dyDescent="0.25">
      <c r="B729" s="18" t="s">
        <v>11</v>
      </c>
      <c r="C729" s="19">
        <f>40466+(3*365)</f>
        <v>41561</v>
      </c>
      <c r="D729" s="18" t="s">
        <v>74</v>
      </c>
      <c r="E729" s="18" t="s">
        <v>59</v>
      </c>
      <c r="F729" s="21">
        <v>204</v>
      </c>
    </row>
    <row r="730" spans="2:6" x14ac:dyDescent="0.25">
      <c r="B730" s="18" t="s">
        <v>21</v>
      </c>
      <c r="C730" s="19">
        <f>40961+(3*365)</f>
        <v>42056</v>
      </c>
      <c r="D730" s="18" t="s">
        <v>58</v>
      </c>
      <c r="E730" s="18" t="s">
        <v>75</v>
      </c>
      <c r="F730" s="21">
        <v>256</v>
      </c>
    </row>
    <row r="731" spans="2:6" x14ac:dyDescent="0.25">
      <c r="B731" s="18" t="s">
        <v>31</v>
      </c>
      <c r="C731" s="19">
        <f>39943+(3*365)</f>
        <v>41038</v>
      </c>
      <c r="D731" s="18" t="s">
        <v>70</v>
      </c>
      <c r="E731" s="18" t="s">
        <v>75</v>
      </c>
      <c r="F731" s="21">
        <v>180</v>
      </c>
    </row>
    <row r="732" spans="2:6" x14ac:dyDescent="0.25">
      <c r="B732" s="18" t="s">
        <v>21</v>
      </c>
      <c r="C732" s="19">
        <f>41181+(3*365)</f>
        <v>42276</v>
      </c>
      <c r="D732" s="18" t="s">
        <v>73</v>
      </c>
      <c r="E732" s="18" t="s">
        <v>63</v>
      </c>
      <c r="F732" s="21">
        <v>432</v>
      </c>
    </row>
    <row r="733" spans="2:6" x14ac:dyDescent="0.25">
      <c r="B733" s="18" t="s">
        <v>11</v>
      </c>
      <c r="C733" s="19">
        <f>41192+(3*365)</f>
        <v>42287</v>
      </c>
      <c r="D733" s="18" t="s">
        <v>60</v>
      </c>
      <c r="E733" s="18" t="s">
        <v>59</v>
      </c>
      <c r="F733" s="21">
        <v>180</v>
      </c>
    </row>
    <row r="734" spans="2:6" x14ac:dyDescent="0.25">
      <c r="B734" s="18" t="s">
        <v>25</v>
      </c>
      <c r="C734" s="19">
        <f>41007+(3*365)</f>
        <v>42102</v>
      </c>
      <c r="D734" s="18" t="s">
        <v>79</v>
      </c>
      <c r="E734" s="18" t="s">
        <v>69</v>
      </c>
      <c r="F734" s="21">
        <v>428</v>
      </c>
    </row>
    <row r="735" spans="2:6" x14ac:dyDescent="0.25">
      <c r="B735" s="18" t="s">
        <v>25</v>
      </c>
      <c r="C735" s="19">
        <f>41063+(3*365)</f>
        <v>42158</v>
      </c>
      <c r="D735" s="18" t="s">
        <v>78</v>
      </c>
      <c r="E735" s="18" t="s">
        <v>63</v>
      </c>
      <c r="F735" s="21">
        <v>624</v>
      </c>
    </row>
    <row r="736" spans="2:6" x14ac:dyDescent="0.25">
      <c r="B736" s="18" t="s">
        <v>18</v>
      </c>
      <c r="C736" s="19">
        <f>40534+(3*365)</f>
        <v>41629</v>
      </c>
      <c r="D736" s="18" t="s">
        <v>68</v>
      </c>
      <c r="E736" s="18" t="s">
        <v>64</v>
      </c>
      <c r="F736" s="21">
        <v>9933</v>
      </c>
    </row>
    <row r="737" spans="2:6" x14ac:dyDescent="0.25">
      <c r="B737" s="18" t="s">
        <v>11</v>
      </c>
      <c r="C737" s="19">
        <f>39880+(3*365)</f>
        <v>40975</v>
      </c>
      <c r="D737" s="18" t="s">
        <v>74</v>
      </c>
      <c r="E737" s="18" t="s">
        <v>63</v>
      </c>
      <c r="F737" s="21">
        <v>648</v>
      </c>
    </row>
    <row r="738" spans="2:6" x14ac:dyDescent="0.25">
      <c r="B738" s="18" t="s">
        <v>10</v>
      </c>
      <c r="C738" s="19">
        <f>39893+(3*365)</f>
        <v>40988</v>
      </c>
      <c r="D738" s="18" t="s">
        <v>65</v>
      </c>
      <c r="E738" s="18" t="s">
        <v>64</v>
      </c>
      <c r="F738" s="21">
        <v>4888</v>
      </c>
    </row>
    <row r="739" spans="2:6" x14ac:dyDescent="0.25">
      <c r="B739" s="18" t="s">
        <v>21</v>
      </c>
      <c r="C739" s="19">
        <f>40486+(3*365)</f>
        <v>41581</v>
      </c>
      <c r="D739" s="18" t="s">
        <v>73</v>
      </c>
      <c r="E739" s="18" t="s">
        <v>75</v>
      </c>
      <c r="F739" s="21">
        <v>592</v>
      </c>
    </row>
    <row r="740" spans="2:6" x14ac:dyDescent="0.25">
      <c r="B740" s="18" t="s">
        <v>9</v>
      </c>
      <c r="C740" s="19">
        <f>41082+(3*365)</f>
        <v>42177</v>
      </c>
      <c r="D740" s="18" t="s">
        <v>80</v>
      </c>
      <c r="E740" s="18" t="s">
        <v>66</v>
      </c>
      <c r="F740" s="21">
        <v>420</v>
      </c>
    </row>
    <row r="741" spans="2:6" x14ac:dyDescent="0.25">
      <c r="B741" s="18" t="s">
        <v>25</v>
      </c>
      <c r="C741" s="19">
        <f>40276+(3*365)</f>
        <v>41371</v>
      </c>
      <c r="D741" s="18" t="s">
        <v>78</v>
      </c>
      <c r="E741" s="18" t="s">
        <v>61</v>
      </c>
      <c r="F741" s="21">
        <v>960</v>
      </c>
    </row>
    <row r="742" spans="2:6" x14ac:dyDescent="0.25">
      <c r="B742" s="18" t="s">
        <v>8</v>
      </c>
      <c r="C742" s="19">
        <f>40227+(3*365)</f>
        <v>41322</v>
      </c>
      <c r="D742" s="18" t="s">
        <v>81</v>
      </c>
      <c r="E742" s="18" t="s">
        <v>64</v>
      </c>
      <c r="F742" s="21">
        <v>14400</v>
      </c>
    </row>
    <row r="743" spans="2:6" x14ac:dyDescent="0.25">
      <c r="B743" s="18" t="s">
        <v>18</v>
      </c>
      <c r="C743" s="19">
        <f>41096+(3*365)</f>
        <v>42191</v>
      </c>
      <c r="D743" s="18" t="s">
        <v>71</v>
      </c>
      <c r="E743" s="18" t="s">
        <v>63</v>
      </c>
      <c r="F743" s="21">
        <v>837</v>
      </c>
    </row>
    <row r="744" spans="2:6" x14ac:dyDescent="0.25">
      <c r="B744" s="18" t="s">
        <v>9</v>
      </c>
      <c r="C744" s="19">
        <f>41073+(3*365)</f>
        <v>42168</v>
      </c>
      <c r="D744" s="18" t="s">
        <v>80</v>
      </c>
      <c r="E744" s="18" t="s">
        <v>72</v>
      </c>
      <c r="F744" s="21">
        <v>351</v>
      </c>
    </row>
    <row r="745" spans="2:6" x14ac:dyDescent="0.25">
      <c r="B745" s="18" t="s">
        <v>31</v>
      </c>
      <c r="C745" s="19">
        <f>40715+(3*365)</f>
        <v>41810</v>
      </c>
      <c r="D745" s="18" t="s">
        <v>76</v>
      </c>
      <c r="E745" s="18" t="s">
        <v>72</v>
      </c>
      <c r="F745" s="21">
        <v>252</v>
      </c>
    </row>
    <row r="746" spans="2:6" x14ac:dyDescent="0.25">
      <c r="B746" s="18" t="s">
        <v>31</v>
      </c>
      <c r="C746" s="19">
        <f>40946+(3*365)</f>
        <v>42041</v>
      </c>
      <c r="D746" s="18" t="s">
        <v>70</v>
      </c>
      <c r="E746" s="18" t="s">
        <v>59</v>
      </c>
      <c r="F746" s="21">
        <v>465</v>
      </c>
    </row>
    <row r="747" spans="2:6" x14ac:dyDescent="0.25">
      <c r="B747" s="18" t="s">
        <v>18</v>
      </c>
      <c r="C747" s="19">
        <f>40715+(3*365)</f>
        <v>41810</v>
      </c>
      <c r="D747" s="18" t="s">
        <v>71</v>
      </c>
      <c r="E747" s="18" t="s">
        <v>69</v>
      </c>
      <c r="F747" s="21">
        <v>4200</v>
      </c>
    </row>
    <row r="748" spans="2:6" x14ac:dyDescent="0.25">
      <c r="B748" s="18" t="s">
        <v>10</v>
      </c>
      <c r="C748" s="19">
        <f>40416+(3*365)</f>
        <v>41511</v>
      </c>
      <c r="D748" s="18" t="s">
        <v>65</v>
      </c>
      <c r="E748" s="18" t="s">
        <v>69</v>
      </c>
      <c r="F748" s="21">
        <v>1170</v>
      </c>
    </row>
    <row r="749" spans="2:6" x14ac:dyDescent="0.25">
      <c r="B749" s="18" t="s">
        <v>9</v>
      </c>
      <c r="C749" s="19">
        <f>40735+(3*365)</f>
        <v>41830</v>
      </c>
      <c r="D749" s="18" t="s">
        <v>62</v>
      </c>
      <c r="E749" s="18" t="s">
        <v>72</v>
      </c>
      <c r="F749" s="21">
        <v>5904</v>
      </c>
    </row>
    <row r="750" spans="2:6" x14ac:dyDescent="0.25">
      <c r="B750" s="18" t="s">
        <v>18</v>
      </c>
      <c r="C750" s="19">
        <f>40214+(3*365)</f>
        <v>41309</v>
      </c>
      <c r="D750" s="18" t="s">
        <v>71</v>
      </c>
      <c r="E750" s="18" t="s">
        <v>72</v>
      </c>
      <c r="F750" s="21">
        <v>2205</v>
      </c>
    </row>
    <row r="751" spans="2:6" x14ac:dyDescent="0.25">
      <c r="B751" s="18" t="s">
        <v>8</v>
      </c>
      <c r="C751" s="19">
        <f>40587+(3*365)</f>
        <v>41682</v>
      </c>
      <c r="D751" s="18" t="s">
        <v>77</v>
      </c>
      <c r="E751" s="18" t="s">
        <v>63</v>
      </c>
      <c r="F751" s="21">
        <v>1248</v>
      </c>
    </row>
    <row r="752" spans="2:6" x14ac:dyDescent="0.25">
      <c r="B752" s="18" t="s">
        <v>9</v>
      </c>
      <c r="C752" s="19">
        <f>40883+(3*365)</f>
        <v>41978</v>
      </c>
      <c r="D752" s="18" t="s">
        <v>80</v>
      </c>
      <c r="E752" s="18" t="s">
        <v>59</v>
      </c>
      <c r="F752" s="21">
        <v>306</v>
      </c>
    </row>
    <row r="753" spans="2:6" x14ac:dyDescent="0.25">
      <c r="B753" s="18" t="s">
        <v>10</v>
      </c>
      <c r="C753" s="19">
        <f>40323+(3*365)</f>
        <v>41418</v>
      </c>
      <c r="D753" s="18" t="s">
        <v>65</v>
      </c>
      <c r="E753" s="18" t="s">
        <v>61</v>
      </c>
      <c r="F753" s="21">
        <v>1248</v>
      </c>
    </row>
    <row r="754" spans="2:6" x14ac:dyDescent="0.25">
      <c r="B754" s="18" t="s">
        <v>9</v>
      </c>
      <c r="C754" s="19">
        <f>41151+(3*365)</f>
        <v>42246</v>
      </c>
      <c r="D754" s="18" t="s">
        <v>80</v>
      </c>
      <c r="E754" s="18" t="s">
        <v>64</v>
      </c>
      <c r="F754" s="21">
        <v>2190</v>
      </c>
    </row>
    <row r="755" spans="2:6" x14ac:dyDescent="0.25">
      <c r="B755" s="18" t="s">
        <v>21</v>
      </c>
      <c r="C755" s="19">
        <f>40971+(3*365)</f>
        <v>42066</v>
      </c>
      <c r="D755" s="18" t="s">
        <v>73</v>
      </c>
      <c r="E755" s="18" t="s">
        <v>61</v>
      </c>
      <c r="F755" s="21">
        <v>120</v>
      </c>
    </row>
    <row r="756" spans="2:6" x14ac:dyDescent="0.25">
      <c r="B756" s="18" t="s">
        <v>11</v>
      </c>
      <c r="C756" s="19">
        <f>40572+(3*365)</f>
        <v>41667</v>
      </c>
      <c r="D756" s="18" t="s">
        <v>60</v>
      </c>
      <c r="E756" s="18" t="s">
        <v>61</v>
      </c>
      <c r="F756" s="21">
        <v>1026</v>
      </c>
    </row>
    <row r="757" spans="2:6" x14ac:dyDescent="0.25">
      <c r="B757" s="18" t="s">
        <v>9</v>
      </c>
      <c r="C757" s="19">
        <f>40693+(3*365)</f>
        <v>41788</v>
      </c>
      <c r="D757" s="18" t="s">
        <v>80</v>
      </c>
      <c r="E757" s="18" t="s">
        <v>63</v>
      </c>
      <c r="F757" s="21">
        <v>435</v>
      </c>
    </row>
    <row r="758" spans="2:6" x14ac:dyDescent="0.25">
      <c r="B758" s="18" t="s">
        <v>25</v>
      </c>
      <c r="C758" s="19">
        <f>40694+(3*365)</f>
        <v>41789</v>
      </c>
      <c r="D758" s="18" t="s">
        <v>79</v>
      </c>
      <c r="E758" s="18" t="s">
        <v>69</v>
      </c>
      <c r="F758" s="21">
        <v>3008</v>
      </c>
    </row>
    <row r="759" spans="2:6" x14ac:dyDescent="0.25">
      <c r="B759" s="18" t="s">
        <v>25</v>
      </c>
      <c r="C759" s="19">
        <f>39931+(3*365)</f>
        <v>41026</v>
      </c>
      <c r="D759" s="18" t="s">
        <v>79</v>
      </c>
      <c r="E759" s="18" t="s">
        <v>72</v>
      </c>
      <c r="F759" s="21">
        <v>380</v>
      </c>
    </row>
    <row r="760" spans="2:6" x14ac:dyDescent="0.25">
      <c r="B760" s="18" t="s">
        <v>11</v>
      </c>
      <c r="C760" s="19">
        <f>41143+(3*365)</f>
        <v>42238</v>
      </c>
      <c r="D760" s="18" t="s">
        <v>74</v>
      </c>
      <c r="E760" s="18" t="s">
        <v>66</v>
      </c>
      <c r="F760" s="21">
        <v>2592</v>
      </c>
    </row>
    <row r="761" spans="2:6" x14ac:dyDescent="0.25">
      <c r="B761" s="18" t="s">
        <v>10</v>
      </c>
      <c r="C761" s="19">
        <f>41187+(3*365)</f>
        <v>42282</v>
      </c>
      <c r="D761" s="18" t="s">
        <v>67</v>
      </c>
      <c r="E761" s="18" t="s">
        <v>61</v>
      </c>
      <c r="F761" s="21">
        <v>444</v>
      </c>
    </row>
    <row r="762" spans="2:6" x14ac:dyDescent="0.25">
      <c r="B762" s="18" t="s">
        <v>9</v>
      </c>
      <c r="C762" s="19">
        <f>40987+(3*365)</f>
        <v>42082</v>
      </c>
      <c r="D762" s="18" t="s">
        <v>80</v>
      </c>
      <c r="E762" s="18" t="s">
        <v>75</v>
      </c>
      <c r="F762" s="21">
        <v>40</v>
      </c>
    </row>
    <row r="763" spans="2:6" x14ac:dyDescent="0.25">
      <c r="B763" s="18" t="s">
        <v>11</v>
      </c>
      <c r="C763" s="19">
        <f>40924+(3*365)</f>
        <v>42019</v>
      </c>
      <c r="D763" s="18" t="s">
        <v>74</v>
      </c>
      <c r="E763" s="18" t="s">
        <v>66</v>
      </c>
      <c r="F763" s="21">
        <v>2208</v>
      </c>
    </row>
    <row r="764" spans="2:6" x14ac:dyDescent="0.25">
      <c r="B764" s="18" t="s">
        <v>8</v>
      </c>
      <c r="C764" s="19">
        <f>40535+(3*365)</f>
        <v>41630</v>
      </c>
      <c r="D764" s="18" t="s">
        <v>81</v>
      </c>
      <c r="E764" s="18" t="s">
        <v>69</v>
      </c>
      <c r="F764" s="21">
        <v>2688</v>
      </c>
    </row>
    <row r="765" spans="2:6" x14ac:dyDescent="0.25">
      <c r="B765" s="18" t="s">
        <v>31</v>
      </c>
      <c r="C765" s="19">
        <f>40738+(3*365)</f>
        <v>41833</v>
      </c>
      <c r="D765" s="18" t="s">
        <v>70</v>
      </c>
      <c r="E765" s="18" t="s">
        <v>75</v>
      </c>
      <c r="F765" s="21">
        <v>351</v>
      </c>
    </row>
    <row r="766" spans="2:6" x14ac:dyDescent="0.25">
      <c r="B766" s="18" t="s">
        <v>18</v>
      </c>
      <c r="C766" s="19">
        <f>40309+(3*365)</f>
        <v>41404</v>
      </c>
      <c r="D766" s="18" t="s">
        <v>71</v>
      </c>
      <c r="E766" s="18" t="s">
        <v>66</v>
      </c>
      <c r="F766" s="21">
        <v>2106</v>
      </c>
    </row>
    <row r="767" spans="2:6" x14ac:dyDescent="0.25">
      <c r="B767" s="18" t="s">
        <v>25</v>
      </c>
      <c r="C767" s="19">
        <f>41249+(3*365)</f>
        <v>42344</v>
      </c>
      <c r="D767" s="18" t="s">
        <v>78</v>
      </c>
      <c r="E767" s="18" t="s">
        <v>61</v>
      </c>
      <c r="F767" s="21">
        <v>1056</v>
      </c>
    </row>
    <row r="768" spans="2:6" x14ac:dyDescent="0.25">
      <c r="B768" s="18" t="s">
        <v>8</v>
      </c>
      <c r="C768" s="19">
        <f>40604+(3*365)</f>
        <v>41699</v>
      </c>
      <c r="D768" s="18" t="s">
        <v>77</v>
      </c>
      <c r="E768" s="18" t="s">
        <v>64</v>
      </c>
      <c r="F768" s="21">
        <v>4336</v>
      </c>
    </row>
    <row r="769" spans="2:6" x14ac:dyDescent="0.25">
      <c r="B769" s="18" t="s">
        <v>18</v>
      </c>
      <c r="C769" s="19">
        <f>41115+(3*365)</f>
        <v>42210</v>
      </c>
      <c r="D769" s="18" t="s">
        <v>71</v>
      </c>
      <c r="E769" s="18" t="s">
        <v>72</v>
      </c>
      <c r="F769" s="21">
        <v>558</v>
      </c>
    </row>
    <row r="770" spans="2:6" x14ac:dyDescent="0.25">
      <c r="B770" s="18" t="s">
        <v>9</v>
      </c>
      <c r="C770" s="19">
        <f>40618+(3*365)</f>
        <v>41713</v>
      </c>
      <c r="D770" s="18" t="s">
        <v>80</v>
      </c>
      <c r="E770" s="18" t="s">
        <v>61</v>
      </c>
      <c r="F770" s="21">
        <v>1566</v>
      </c>
    </row>
    <row r="771" spans="2:6" x14ac:dyDescent="0.25">
      <c r="B771" s="18" t="s">
        <v>31</v>
      </c>
      <c r="C771" s="19">
        <f>41153+(3*365)</f>
        <v>42248</v>
      </c>
      <c r="D771" s="18" t="s">
        <v>70</v>
      </c>
      <c r="E771" s="18" t="s">
        <v>61</v>
      </c>
      <c r="F771" s="21">
        <v>648</v>
      </c>
    </row>
    <row r="772" spans="2:6" x14ac:dyDescent="0.25">
      <c r="B772" s="18" t="s">
        <v>21</v>
      </c>
      <c r="C772" s="19">
        <f>41244+(3*365)</f>
        <v>42339</v>
      </c>
      <c r="D772" s="18" t="s">
        <v>73</v>
      </c>
      <c r="E772" s="18" t="s">
        <v>59</v>
      </c>
      <c r="F772" s="21">
        <v>792</v>
      </c>
    </row>
    <row r="773" spans="2:6" x14ac:dyDescent="0.25">
      <c r="B773" s="18" t="s">
        <v>8</v>
      </c>
      <c r="C773" s="19">
        <f>40808+(3*365)</f>
        <v>41903</v>
      </c>
      <c r="D773" s="18" t="s">
        <v>81</v>
      </c>
      <c r="E773" s="18" t="s">
        <v>61</v>
      </c>
      <c r="F773" s="21">
        <v>240</v>
      </c>
    </row>
    <row r="774" spans="2:6" x14ac:dyDescent="0.25">
      <c r="B774" s="18" t="s">
        <v>11</v>
      </c>
      <c r="C774" s="19">
        <f>40291+(3*365)</f>
        <v>41386</v>
      </c>
      <c r="D774" s="18" t="s">
        <v>74</v>
      </c>
      <c r="E774" s="18" t="s">
        <v>64</v>
      </c>
      <c r="F774" s="21">
        <v>11862</v>
      </c>
    </row>
    <row r="775" spans="2:6" x14ac:dyDescent="0.25">
      <c r="B775" s="18" t="s">
        <v>9</v>
      </c>
      <c r="C775" s="19">
        <f>40973+(3*365)</f>
        <v>42068</v>
      </c>
      <c r="D775" s="18" t="s">
        <v>62</v>
      </c>
      <c r="E775" s="18" t="s">
        <v>59</v>
      </c>
      <c r="F775" s="21">
        <v>92</v>
      </c>
    </row>
    <row r="776" spans="2:6" x14ac:dyDescent="0.25">
      <c r="B776" s="18" t="s">
        <v>21</v>
      </c>
      <c r="C776" s="19">
        <f>40830+(3*365)</f>
        <v>41925</v>
      </c>
      <c r="D776" s="18" t="s">
        <v>73</v>
      </c>
      <c r="E776" s="18" t="s">
        <v>61</v>
      </c>
      <c r="F776" s="21">
        <v>615</v>
      </c>
    </row>
    <row r="777" spans="2:6" x14ac:dyDescent="0.25">
      <c r="B777" s="18" t="s">
        <v>10</v>
      </c>
      <c r="C777" s="19">
        <f>39852+(3*365)</f>
        <v>40947</v>
      </c>
      <c r="D777" s="18" t="s">
        <v>65</v>
      </c>
      <c r="E777" s="18" t="s">
        <v>72</v>
      </c>
      <c r="F777" s="21">
        <v>192</v>
      </c>
    </row>
    <row r="778" spans="2:6" x14ac:dyDescent="0.25">
      <c r="B778" s="18" t="s">
        <v>8</v>
      </c>
      <c r="C778" s="19">
        <f>40114+(3*365)</f>
        <v>41209</v>
      </c>
      <c r="D778" s="18" t="s">
        <v>77</v>
      </c>
      <c r="E778" s="18" t="s">
        <v>75</v>
      </c>
      <c r="F778" s="21">
        <v>180</v>
      </c>
    </row>
    <row r="779" spans="2:6" x14ac:dyDescent="0.25">
      <c r="B779" s="18" t="s">
        <v>21</v>
      </c>
      <c r="C779" s="19">
        <f>40824+(3*365)</f>
        <v>41919</v>
      </c>
      <c r="D779" s="18" t="s">
        <v>58</v>
      </c>
      <c r="E779" s="18" t="s">
        <v>66</v>
      </c>
      <c r="F779" s="21">
        <v>1272</v>
      </c>
    </row>
    <row r="780" spans="2:6" x14ac:dyDescent="0.25">
      <c r="B780" s="18" t="s">
        <v>10</v>
      </c>
      <c r="C780" s="19">
        <f>40927+(3*365)</f>
        <v>42022</v>
      </c>
      <c r="D780" s="18" t="s">
        <v>65</v>
      </c>
      <c r="E780" s="18" t="s">
        <v>64</v>
      </c>
      <c r="F780" s="21">
        <v>1446</v>
      </c>
    </row>
    <row r="781" spans="2:6" x14ac:dyDescent="0.25">
      <c r="B781" s="18" t="s">
        <v>9</v>
      </c>
      <c r="C781" s="19">
        <f>39996+(3*365)</f>
        <v>41091</v>
      </c>
      <c r="D781" s="18" t="s">
        <v>62</v>
      </c>
      <c r="E781" s="18" t="s">
        <v>69</v>
      </c>
      <c r="F781" s="21">
        <v>1476</v>
      </c>
    </row>
    <row r="782" spans="2:6" x14ac:dyDescent="0.25">
      <c r="B782" s="18" t="s">
        <v>10</v>
      </c>
      <c r="C782" s="19">
        <f>40039+(3*365)</f>
        <v>41134</v>
      </c>
      <c r="D782" s="18" t="s">
        <v>67</v>
      </c>
      <c r="E782" s="18" t="s">
        <v>63</v>
      </c>
      <c r="F782" s="21">
        <v>816</v>
      </c>
    </row>
    <row r="783" spans="2:6" x14ac:dyDescent="0.25">
      <c r="B783" s="18" t="s">
        <v>8</v>
      </c>
      <c r="C783" s="19">
        <f>39826+(3*365)</f>
        <v>40921</v>
      </c>
      <c r="D783" s="18" t="s">
        <v>77</v>
      </c>
      <c r="E783" s="18" t="s">
        <v>72</v>
      </c>
      <c r="F783" s="21">
        <v>576</v>
      </c>
    </row>
    <row r="784" spans="2:6" x14ac:dyDescent="0.25">
      <c r="B784" s="18" t="s">
        <v>21</v>
      </c>
      <c r="C784" s="19">
        <f>40973+(3*365)</f>
        <v>42068</v>
      </c>
      <c r="D784" s="18" t="s">
        <v>58</v>
      </c>
      <c r="E784" s="18" t="s">
        <v>66</v>
      </c>
      <c r="F784" s="21">
        <v>1736</v>
      </c>
    </row>
    <row r="785" spans="2:6" x14ac:dyDescent="0.25">
      <c r="B785" s="18" t="s">
        <v>9</v>
      </c>
      <c r="C785" s="19">
        <f>40628+(3*365)</f>
        <v>41723</v>
      </c>
      <c r="D785" s="18" t="s">
        <v>62</v>
      </c>
      <c r="E785" s="18" t="s">
        <v>72</v>
      </c>
      <c r="F785" s="21">
        <v>5004</v>
      </c>
    </row>
    <row r="786" spans="2:6" x14ac:dyDescent="0.25">
      <c r="B786" s="18" t="s">
        <v>9</v>
      </c>
      <c r="C786" s="19">
        <f>40084+(3*365)</f>
        <v>41179</v>
      </c>
      <c r="D786" s="18" t="s">
        <v>80</v>
      </c>
      <c r="E786" s="18" t="s">
        <v>64</v>
      </c>
      <c r="F786" s="21">
        <v>578</v>
      </c>
    </row>
    <row r="787" spans="2:6" x14ac:dyDescent="0.25">
      <c r="B787" s="18" t="s">
        <v>10</v>
      </c>
      <c r="C787" s="19">
        <f>41072+(3*365)</f>
        <v>42167</v>
      </c>
      <c r="D787" s="18" t="s">
        <v>65</v>
      </c>
      <c r="E787" s="18" t="s">
        <v>66</v>
      </c>
      <c r="F787" s="21">
        <v>330</v>
      </c>
    </row>
    <row r="788" spans="2:6" x14ac:dyDescent="0.25">
      <c r="B788" s="18" t="s">
        <v>21</v>
      </c>
      <c r="C788" s="19">
        <f>41194+(3*365)</f>
        <v>42289</v>
      </c>
      <c r="D788" s="18" t="s">
        <v>58</v>
      </c>
      <c r="E788" s="18" t="s">
        <v>59</v>
      </c>
      <c r="F788" s="21">
        <v>608</v>
      </c>
    </row>
    <row r="789" spans="2:6" x14ac:dyDescent="0.25">
      <c r="B789" s="18" t="s">
        <v>10</v>
      </c>
      <c r="C789" s="19">
        <f>41180+(3*365)</f>
        <v>42275</v>
      </c>
      <c r="D789" s="18" t="s">
        <v>65</v>
      </c>
      <c r="E789" s="18" t="s">
        <v>59</v>
      </c>
      <c r="F789" s="21">
        <v>540</v>
      </c>
    </row>
    <row r="790" spans="2:6" x14ac:dyDescent="0.25">
      <c r="B790" s="18" t="s">
        <v>21</v>
      </c>
      <c r="C790" s="19">
        <f>40239+(3*365)</f>
        <v>41334</v>
      </c>
      <c r="D790" s="18" t="s">
        <v>73</v>
      </c>
      <c r="E790" s="18" t="s">
        <v>63</v>
      </c>
      <c r="F790" s="21">
        <v>240</v>
      </c>
    </row>
    <row r="791" spans="2:6" x14ac:dyDescent="0.25">
      <c r="B791" s="18" t="s">
        <v>9</v>
      </c>
      <c r="C791" s="19">
        <f>39967+(3*365)</f>
        <v>41062</v>
      </c>
      <c r="D791" s="18" t="s">
        <v>80</v>
      </c>
      <c r="E791" s="18" t="s">
        <v>72</v>
      </c>
      <c r="F791" s="21">
        <v>4608</v>
      </c>
    </row>
    <row r="792" spans="2:6" x14ac:dyDescent="0.25">
      <c r="B792" s="18" t="s">
        <v>25</v>
      </c>
      <c r="C792" s="19">
        <f>41042+(3*365)</f>
        <v>42137</v>
      </c>
      <c r="D792" s="18" t="s">
        <v>79</v>
      </c>
      <c r="E792" s="18" t="s">
        <v>69</v>
      </c>
      <c r="F792" s="21">
        <v>1776</v>
      </c>
    </row>
    <row r="793" spans="2:6" x14ac:dyDescent="0.25">
      <c r="B793" s="18" t="s">
        <v>25</v>
      </c>
      <c r="C793" s="19">
        <f>40141+(3*365)</f>
        <v>41236</v>
      </c>
      <c r="D793" s="18" t="s">
        <v>79</v>
      </c>
      <c r="E793" s="18" t="s">
        <v>66</v>
      </c>
      <c r="F793" s="21">
        <v>162</v>
      </c>
    </row>
    <row r="794" spans="2:6" x14ac:dyDescent="0.25">
      <c r="B794" s="18" t="s">
        <v>25</v>
      </c>
      <c r="C794" s="19">
        <f>40049+(3*365)</f>
        <v>41144</v>
      </c>
      <c r="D794" s="18" t="s">
        <v>79</v>
      </c>
      <c r="E794" s="18" t="s">
        <v>63</v>
      </c>
      <c r="F794" s="21">
        <v>168</v>
      </c>
    </row>
    <row r="795" spans="2:6" x14ac:dyDescent="0.25">
      <c r="B795" s="18" t="s">
        <v>9</v>
      </c>
      <c r="C795" s="19">
        <f>40627+(3*365)</f>
        <v>41722</v>
      </c>
      <c r="D795" s="18" t="s">
        <v>62</v>
      </c>
      <c r="E795" s="18" t="s">
        <v>64</v>
      </c>
      <c r="F795" s="21">
        <v>1389</v>
      </c>
    </row>
    <row r="796" spans="2:6" x14ac:dyDescent="0.25">
      <c r="B796" s="18" t="s">
        <v>11</v>
      </c>
      <c r="C796" s="19">
        <f>40055+(3*365)</f>
        <v>41150</v>
      </c>
      <c r="D796" s="18" t="s">
        <v>60</v>
      </c>
      <c r="E796" s="18" t="s">
        <v>72</v>
      </c>
      <c r="F796" s="21">
        <v>3591</v>
      </c>
    </row>
    <row r="797" spans="2:6" x14ac:dyDescent="0.25">
      <c r="B797" s="18" t="s">
        <v>21</v>
      </c>
      <c r="C797" s="19">
        <f>40456+(3*365)</f>
        <v>41551</v>
      </c>
      <c r="D797" s="18" t="s">
        <v>73</v>
      </c>
      <c r="E797" s="18" t="s">
        <v>72</v>
      </c>
      <c r="F797" s="21">
        <v>960</v>
      </c>
    </row>
    <row r="798" spans="2:6" x14ac:dyDescent="0.25">
      <c r="B798" s="18" t="s">
        <v>31</v>
      </c>
      <c r="C798" s="19">
        <f>40678+(3*365)</f>
        <v>41773</v>
      </c>
      <c r="D798" s="18" t="s">
        <v>76</v>
      </c>
      <c r="E798" s="18" t="s">
        <v>59</v>
      </c>
      <c r="F798" s="21">
        <v>576</v>
      </c>
    </row>
    <row r="799" spans="2:6" x14ac:dyDescent="0.25">
      <c r="B799" s="18" t="s">
        <v>11</v>
      </c>
      <c r="C799" s="19">
        <f>40177+(3*365)</f>
        <v>41272</v>
      </c>
      <c r="D799" s="18" t="s">
        <v>74</v>
      </c>
      <c r="E799" s="18" t="s">
        <v>75</v>
      </c>
      <c r="F799" s="21">
        <v>135</v>
      </c>
    </row>
    <row r="800" spans="2:6" x14ac:dyDescent="0.25">
      <c r="B800" s="18" t="s">
        <v>8</v>
      </c>
      <c r="C800" s="19">
        <f>39976+(3*365)</f>
        <v>41071</v>
      </c>
      <c r="D800" s="18" t="s">
        <v>81</v>
      </c>
      <c r="E800" s="18" t="s">
        <v>69</v>
      </c>
      <c r="F800" s="21">
        <v>4116</v>
      </c>
    </row>
    <row r="801" spans="2:6" x14ac:dyDescent="0.25">
      <c r="B801" s="18" t="s">
        <v>31</v>
      </c>
      <c r="C801" s="19">
        <f>40138+(3*365)</f>
        <v>41233</v>
      </c>
      <c r="D801" s="18" t="s">
        <v>70</v>
      </c>
      <c r="E801" s="18" t="s">
        <v>66</v>
      </c>
      <c r="F801" s="21">
        <v>720</v>
      </c>
    </row>
    <row r="802" spans="2:6" x14ac:dyDescent="0.25">
      <c r="B802" s="18" t="s">
        <v>21</v>
      </c>
      <c r="C802" s="19">
        <f>40461+(3*365)</f>
        <v>41556</v>
      </c>
      <c r="D802" s="18" t="s">
        <v>58</v>
      </c>
      <c r="E802" s="18" t="s">
        <v>63</v>
      </c>
      <c r="F802" s="21">
        <v>160</v>
      </c>
    </row>
    <row r="803" spans="2:6" x14ac:dyDescent="0.25">
      <c r="B803" s="18" t="s">
        <v>21</v>
      </c>
      <c r="C803" s="19">
        <f>41171+(3*365)</f>
        <v>42266</v>
      </c>
      <c r="D803" s="18" t="s">
        <v>58</v>
      </c>
      <c r="E803" s="18" t="s">
        <v>66</v>
      </c>
      <c r="F803" s="21">
        <v>536</v>
      </c>
    </row>
    <row r="804" spans="2:6" x14ac:dyDescent="0.25">
      <c r="B804" s="18" t="s">
        <v>31</v>
      </c>
      <c r="C804" s="19">
        <f>39832+(3*365)</f>
        <v>40927</v>
      </c>
      <c r="D804" s="18" t="s">
        <v>76</v>
      </c>
      <c r="E804" s="18" t="s">
        <v>72</v>
      </c>
      <c r="F804" s="21">
        <v>2064</v>
      </c>
    </row>
    <row r="805" spans="2:6" x14ac:dyDescent="0.25">
      <c r="B805" s="18" t="s">
        <v>10</v>
      </c>
      <c r="C805" s="19">
        <f>39815+(3*365)</f>
        <v>40910</v>
      </c>
      <c r="D805" s="18" t="s">
        <v>67</v>
      </c>
      <c r="E805" s="18" t="s">
        <v>69</v>
      </c>
      <c r="F805" s="21">
        <v>3744</v>
      </c>
    </row>
    <row r="806" spans="2:6" x14ac:dyDescent="0.25">
      <c r="B806" s="18" t="s">
        <v>10</v>
      </c>
      <c r="C806" s="19">
        <f>40030+(3*365)</f>
        <v>41125</v>
      </c>
      <c r="D806" s="18" t="s">
        <v>67</v>
      </c>
      <c r="E806" s="18" t="s">
        <v>63</v>
      </c>
      <c r="F806" s="21">
        <v>1320</v>
      </c>
    </row>
    <row r="807" spans="2:6" x14ac:dyDescent="0.25">
      <c r="B807" s="18" t="s">
        <v>8</v>
      </c>
      <c r="C807" s="19">
        <f>41047+(3*365)</f>
        <v>42142</v>
      </c>
      <c r="D807" s="18" t="s">
        <v>77</v>
      </c>
      <c r="E807" s="18" t="s">
        <v>69</v>
      </c>
      <c r="F807" s="21">
        <v>1664</v>
      </c>
    </row>
    <row r="808" spans="2:6" x14ac:dyDescent="0.25">
      <c r="B808" s="18" t="s">
        <v>10</v>
      </c>
      <c r="C808" s="19">
        <f>40159+(3*365)</f>
        <v>41254</v>
      </c>
      <c r="D808" s="18" t="s">
        <v>67</v>
      </c>
      <c r="E808" s="18" t="s">
        <v>75</v>
      </c>
      <c r="F808" s="21">
        <v>280</v>
      </c>
    </row>
    <row r="809" spans="2:6" x14ac:dyDescent="0.25">
      <c r="B809" s="18" t="s">
        <v>9</v>
      </c>
      <c r="C809" s="19">
        <f>39847+(3*365)</f>
        <v>40942</v>
      </c>
      <c r="D809" s="18" t="s">
        <v>80</v>
      </c>
      <c r="E809" s="18" t="s">
        <v>59</v>
      </c>
      <c r="F809" s="21">
        <v>324</v>
      </c>
    </row>
    <row r="810" spans="2:6" x14ac:dyDescent="0.25">
      <c r="B810" s="18" t="s">
        <v>18</v>
      </c>
      <c r="C810" s="19">
        <f>40265+(3*365)</f>
        <v>41360</v>
      </c>
      <c r="D810" s="18" t="s">
        <v>71</v>
      </c>
      <c r="E810" s="18" t="s">
        <v>75</v>
      </c>
      <c r="F810" s="21">
        <v>624</v>
      </c>
    </row>
    <row r="811" spans="2:6" x14ac:dyDescent="0.25">
      <c r="B811" s="18" t="s">
        <v>18</v>
      </c>
      <c r="C811" s="19">
        <f>40934+(3*365)</f>
        <v>42029</v>
      </c>
      <c r="D811" s="18" t="s">
        <v>68</v>
      </c>
      <c r="E811" s="18" t="s">
        <v>66</v>
      </c>
      <c r="F811" s="21">
        <v>297</v>
      </c>
    </row>
    <row r="812" spans="2:6" x14ac:dyDescent="0.25">
      <c r="B812" s="18" t="s">
        <v>25</v>
      </c>
      <c r="C812" s="19">
        <f>40572+(3*365)</f>
        <v>41667</v>
      </c>
      <c r="D812" s="18" t="s">
        <v>79</v>
      </c>
      <c r="E812" s="18" t="s">
        <v>63</v>
      </c>
      <c r="F812" s="21">
        <v>768</v>
      </c>
    </row>
    <row r="813" spans="2:6" x14ac:dyDescent="0.25">
      <c r="B813" s="18" t="s">
        <v>25</v>
      </c>
      <c r="C813" s="19">
        <f>40684+(3*365)</f>
        <v>41779</v>
      </c>
      <c r="D813" s="18" t="s">
        <v>78</v>
      </c>
      <c r="E813" s="18" t="s">
        <v>72</v>
      </c>
      <c r="F813" s="21">
        <v>4096</v>
      </c>
    </row>
    <row r="814" spans="2:6" x14ac:dyDescent="0.25">
      <c r="B814" s="18" t="s">
        <v>31</v>
      </c>
      <c r="C814" s="19">
        <f>40236+(3*365)</f>
        <v>41331</v>
      </c>
      <c r="D814" s="18" t="s">
        <v>76</v>
      </c>
      <c r="E814" s="18" t="s">
        <v>63</v>
      </c>
      <c r="F814" s="21">
        <v>126</v>
      </c>
    </row>
    <row r="815" spans="2:6" x14ac:dyDescent="0.25">
      <c r="B815" s="18" t="s">
        <v>10</v>
      </c>
      <c r="C815" s="19">
        <f>39964+(3*365)</f>
        <v>41059</v>
      </c>
      <c r="D815" s="18" t="s">
        <v>65</v>
      </c>
      <c r="E815" s="18" t="s">
        <v>63</v>
      </c>
      <c r="F815" s="21">
        <v>1160</v>
      </c>
    </row>
    <row r="816" spans="2:6" x14ac:dyDescent="0.25">
      <c r="B816" s="18" t="s">
        <v>9</v>
      </c>
      <c r="C816" s="19">
        <f>40291+(3*365)</f>
        <v>41386</v>
      </c>
      <c r="D816" s="18" t="s">
        <v>62</v>
      </c>
      <c r="E816" s="18" t="s">
        <v>64</v>
      </c>
      <c r="F816" s="21">
        <v>6540</v>
      </c>
    </row>
    <row r="817" spans="2:6" x14ac:dyDescent="0.25">
      <c r="B817" s="18" t="s">
        <v>10</v>
      </c>
      <c r="C817" s="19">
        <f>41095+(3*365)</f>
        <v>42190</v>
      </c>
      <c r="D817" s="18" t="s">
        <v>67</v>
      </c>
      <c r="E817" s="18" t="s">
        <v>64</v>
      </c>
      <c r="F817" s="21">
        <v>2070</v>
      </c>
    </row>
    <row r="818" spans="2:6" x14ac:dyDescent="0.25">
      <c r="B818" s="18" t="s">
        <v>21</v>
      </c>
      <c r="C818" s="19">
        <f>40491+(3*365)</f>
        <v>41586</v>
      </c>
      <c r="D818" s="18" t="s">
        <v>58</v>
      </c>
      <c r="E818" s="18" t="s">
        <v>72</v>
      </c>
      <c r="F818" s="21">
        <v>880</v>
      </c>
    </row>
    <row r="819" spans="2:6" x14ac:dyDescent="0.25">
      <c r="B819" s="18" t="s">
        <v>31</v>
      </c>
      <c r="C819" s="19">
        <f>39931+(3*365)</f>
        <v>41026</v>
      </c>
      <c r="D819" s="18" t="s">
        <v>76</v>
      </c>
      <c r="E819" s="18" t="s">
        <v>59</v>
      </c>
      <c r="F819" s="21">
        <v>252</v>
      </c>
    </row>
    <row r="820" spans="2:6" x14ac:dyDescent="0.25">
      <c r="B820" s="18" t="s">
        <v>11</v>
      </c>
      <c r="C820" s="19">
        <f>39952+(3*365)</f>
        <v>41047</v>
      </c>
      <c r="D820" s="18" t="s">
        <v>74</v>
      </c>
      <c r="E820" s="18" t="s">
        <v>64</v>
      </c>
      <c r="F820" s="21">
        <v>7752</v>
      </c>
    </row>
    <row r="821" spans="2:6" x14ac:dyDescent="0.25">
      <c r="B821" s="18" t="s">
        <v>10</v>
      </c>
      <c r="C821" s="19">
        <f>41202+(3*365)</f>
        <v>42297</v>
      </c>
      <c r="D821" s="18" t="s">
        <v>65</v>
      </c>
      <c r="E821" s="18" t="s">
        <v>66</v>
      </c>
      <c r="F821" s="21">
        <v>1320</v>
      </c>
    </row>
    <row r="822" spans="2:6" x14ac:dyDescent="0.25">
      <c r="B822" s="18" t="s">
        <v>18</v>
      </c>
      <c r="C822" s="19">
        <f>40629+(3*365)</f>
        <v>41724</v>
      </c>
      <c r="D822" s="18" t="s">
        <v>68</v>
      </c>
      <c r="E822" s="18" t="s">
        <v>63</v>
      </c>
      <c r="F822" s="21">
        <v>720</v>
      </c>
    </row>
    <row r="823" spans="2:6" x14ac:dyDescent="0.25">
      <c r="B823" s="18" t="s">
        <v>8</v>
      </c>
      <c r="C823" s="19">
        <f>40245+(3*365)</f>
        <v>41340</v>
      </c>
      <c r="D823" s="18" t="s">
        <v>81</v>
      </c>
      <c r="E823" s="18" t="s">
        <v>66</v>
      </c>
      <c r="F823" s="21">
        <v>280</v>
      </c>
    </row>
    <row r="824" spans="2:6" x14ac:dyDescent="0.25">
      <c r="B824" s="18" t="s">
        <v>9</v>
      </c>
      <c r="C824" s="19">
        <f>40774+(3*365)</f>
        <v>41869</v>
      </c>
      <c r="D824" s="18" t="s">
        <v>80</v>
      </c>
      <c r="E824" s="18" t="s">
        <v>72</v>
      </c>
      <c r="F824" s="21">
        <v>408</v>
      </c>
    </row>
    <row r="825" spans="2:6" x14ac:dyDescent="0.25">
      <c r="B825" s="18" t="s">
        <v>8</v>
      </c>
      <c r="C825" s="19">
        <f>40443+(3*365)</f>
        <v>41538</v>
      </c>
      <c r="D825" s="18" t="s">
        <v>81</v>
      </c>
      <c r="E825" s="18" t="s">
        <v>66</v>
      </c>
      <c r="F825" s="21">
        <v>1820</v>
      </c>
    </row>
    <row r="826" spans="2:6" x14ac:dyDescent="0.25">
      <c r="B826" s="18" t="s">
        <v>25</v>
      </c>
      <c r="C826" s="19">
        <f>40144+(3*365)</f>
        <v>41239</v>
      </c>
      <c r="D826" s="18" t="s">
        <v>79</v>
      </c>
      <c r="E826" s="18" t="s">
        <v>61</v>
      </c>
      <c r="F826" s="21">
        <v>304</v>
      </c>
    </row>
    <row r="827" spans="2:6" x14ac:dyDescent="0.25">
      <c r="B827" s="18" t="s">
        <v>25</v>
      </c>
      <c r="C827" s="19">
        <f>40531+(3*365)</f>
        <v>41626</v>
      </c>
      <c r="D827" s="18" t="s">
        <v>78</v>
      </c>
      <c r="E827" s="18" t="s">
        <v>75</v>
      </c>
      <c r="F827" s="21">
        <v>216</v>
      </c>
    </row>
    <row r="828" spans="2:6" x14ac:dyDescent="0.25">
      <c r="B828" s="18" t="s">
        <v>10</v>
      </c>
      <c r="C828" s="19">
        <f>40219+(3*365)</f>
        <v>41314</v>
      </c>
      <c r="D828" s="18" t="s">
        <v>67</v>
      </c>
      <c r="E828" s="18" t="s">
        <v>66</v>
      </c>
      <c r="F828" s="21">
        <v>120</v>
      </c>
    </row>
    <row r="829" spans="2:6" x14ac:dyDescent="0.25">
      <c r="B829" s="18" t="s">
        <v>25</v>
      </c>
      <c r="C829" s="19">
        <f>41131+(3*365)</f>
        <v>42226</v>
      </c>
      <c r="D829" s="18" t="s">
        <v>79</v>
      </c>
      <c r="E829" s="18" t="s">
        <v>61</v>
      </c>
      <c r="F829" s="21">
        <v>1224</v>
      </c>
    </row>
    <row r="830" spans="2:6" x14ac:dyDescent="0.25">
      <c r="B830" s="18" t="s">
        <v>9</v>
      </c>
      <c r="C830" s="19">
        <f>41267+(3*365)</f>
        <v>42362</v>
      </c>
      <c r="D830" s="18" t="s">
        <v>80</v>
      </c>
      <c r="E830" s="18" t="s">
        <v>59</v>
      </c>
      <c r="F830" s="21">
        <v>148</v>
      </c>
    </row>
    <row r="831" spans="2:6" x14ac:dyDescent="0.25">
      <c r="B831" s="18" t="s">
        <v>31</v>
      </c>
      <c r="C831" s="19">
        <f>40893+(3*365)</f>
        <v>41988</v>
      </c>
      <c r="D831" s="18" t="s">
        <v>76</v>
      </c>
      <c r="E831" s="18" t="s">
        <v>59</v>
      </c>
      <c r="F831" s="21">
        <v>342</v>
      </c>
    </row>
    <row r="832" spans="2:6" x14ac:dyDescent="0.25">
      <c r="B832" s="18" t="s">
        <v>8</v>
      </c>
      <c r="C832" s="19">
        <f>40683+(3*365)</f>
        <v>41778</v>
      </c>
      <c r="D832" s="18" t="s">
        <v>77</v>
      </c>
      <c r="E832" s="18" t="s">
        <v>69</v>
      </c>
      <c r="F832" s="21">
        <v>628</v>
      </c>
    </row>
    <row r="833" spans="2:6" x14ac:dyDescent="0.25">
      <c r="B833" s="18" t="s">
        <v>8</v>
      </c>
      <c r="C833" s="19">
        <f>40524+(3*365)</f>
        <v>41619</v>
      </c>
      <c r="D833" s="18" t="s">
        <v>77</v>
      </c>
      <c r="E833" s="18" t="s">
        <v>61</v>
      </c>
      <c r="F833" s="21">
        <v>1484</v>
      </c>
    </row>
    <row r="834" spans="2:6" x14ac:dyDescent="0.25">
      <c r="B834" s="18" t="s">
        <v>11</v>
      </c>
      <c r="C834" s="19">
        <f>40298+(3*365)</f>
        <v>41393</v>
      </c>
      <c r="D834" s="18" t="s">
        <v>60</v>
      </c>
      <c r="E834" s="18" t="s">
        <v>61</v>
      </c>
      <c r="F834" s="21">
        <v>1617</v>
      </c>
    </row>
    <row r="835" spans="2:6" x14ac:dyDescent="0.25">
      <c r="B835" s="18" t="s">
        <v>18</v>
      </c>
      <c r="C835" s="19">
        <f>40602+(3*365)</f>
        <v>41697</v>
      </c>
      <c r="D835" s="18" t="s">
        <v>68</v>
      </c>
      <c r="E835" s="18" t="s">
        <v>64</v>
      </c>
      <c r="F835" s="21">
        <v>12720</v>
      </c>
    </row>
    <row r="836" spans="2:6" x14ac:dyDescent="0.25">
      <c r="B836" s="18" t="s">
        <v>11</v>
      </c>
      <c r="C836" s="19">
        <f>40798+(3*365)</f>
        <v>41893</v>
      </c>
      <c r="D836" s="18" t="s">
        <v>74</v>
      </c>
      <c r="E836" s="18" t="s">
        <v>59</v>
      </c>
      <c r="F836" s="21">
        <v>399</v>
      </c>
    </row>
    <row r="837" spans="2:6" x14ac:dyDescent="0.25">
      <c r="B837" s="18" t="s">
        <v>25</v>
      </c>
      <c r="C837" s="19">
        <f>40942+(3*365)</f>
        <v>42037</v>
      </c>
      <c r="D837" s="18" t="s">
        <v>79</v>
      </c>
      <c r="E837" s="18" t="s">
        <v>69</v>
      </c>
      <c r="F837" s="21">
        <v>256</v>
      </c>
    </row>
    <row r="838" spans="2:6" x14ac:dyDescent="0.25">
      <c r="B838" s="18" t="s">
        <v>18</v>
      </c>
      <c r="C838" s="19">
        <f>41049+(3*365)</f>
        <v>42144</v>
      </c>
      <c r="D838" s="18" t="s">
        <v>71</v>
      </c>
      <c r="E838" s="18" t="s">
        <v>66</v>
      </c>
      <c r="F838" s="21">
        <v>351</v>
      </c>
    </row>
    <row r="839" spans="2:6" x14ac:dyDescent="0.25">
      <c r="B839" s="18" t="s">
        <v>8</v>
      </c>
      <c r="C839" s="19">
        <f>40669+(3*365)</f>
        <v>41764</v>
      </c>
      <c r="D839" s="18" t="s">
        <v>77</v>
      </c>
      <c r="E839" s="18" t="s">
        <v>59</v>
      </c>
      <c r="F839" s="21">
        <v>560</v>
      </c>
    </row>
    <row r="840" spans="2:6" x14ac:dyDescent="0.25">
      <c r="B840" s="18" t="s">
        <v>31</v>
      </c>
      <c r="C840" s="19">
        <f>40385+(3*365)</f>
        <v>41480</v>
      </c>
      <c r="D840" s="18" t="s">
        <v>76</v>
      </c>
      <c r="E840" s="18" t="s">
        <v>63</v>
      </c>
      <c r="F840" s="21">
        <v>435</v>
      </c>
    </row>
    <row r="841" spans="2:6" x14ac:dyDescent="0.25">
      <c r="B841" s="18" t="s">
        <v>9</v>
      </c>
      <c r="C841" s="19">
        <f>40947+(3*365)</f>
        <v>42042</v>
      </c>
      <c r="D841" s="18" t="s">
        <v>80</v>
      </c>
      <c r="E841" s="18" t="s">
        <v>72</v>
      </c>
      <c r="F841" s="21">
        <v>20</v>
      </c>
    </row>
    <row r="842" spans="2:6" x14ac:dyDescent="0.25">
      <c r="B842" s="18" t="s">
        <v>8</v>
      </c>
      <c r="C842" s="19">
        <f>40856+(3*365)</f>
        <v>41951</v>
      </c>
      <c r="D842" s="18" t="s">
        <v>81</v>
      </c>
      <c r="E842" s="18" t="s">
        <v>69</v>
      </c>
      <c r="F842" s="21">
        <v>3240</v>
      </c>
    </row>
    <row r="843" spans="2:6" x14ac:dyDescent="0.25">
      <c r="B843" s="18" t="s">
        <v>8</v>
      </c>
      <c r="C843" s="19">
        <f>40937+(3*365)</f>
        <v>42032</v>
      </c>
      <c r="D843" s="18" t="s">
        <v>81</v>
      </c>
      <c r="E843" s="18" t="s">
        <v>59</v>
      </c>
      <c r="F843" s="21">
        <v>900</v>
      </c>
    </row>
    <row r="844" spans="2:6" x14ac:dyDescent="0.25">
      <c r="B844" s="18" t="s">
        <v>18</v>
      </c>
      <c r="C844" s="19">
        <f>40000+(3*365)</f>
        <v>41095</v>
      </c>
      <c r="D844" s="18" t="s">
        <v>68</v>
      </c>
      <c r="E844" s="18" t="s">
        <v>66</v>
      </c>
      <c r="F844" s="21">
        <v>282</v>
      </c>
    </row>
    <row r="845" spans="2:6" x14ac:dyDescent="0.25">
      <c r="B845" s="18" t="s">
        <v>31</v>
      </c>
      <c r="C845" s="19">
        <f>40259+(3*365)</f>
        <v>41354</v>
      </c>
      <c r="D845" s="18" t="s">
        <v>76</v>
      </c>
      <c r="E845" s="18" t="s">
        <v>64</v>
      </c>
      <c r="F845" s="21">
        <v>10575</v>
      </c>
    </row>
    <row r="846" spans="2:6" x14ac:dyDescent="0.25">
      <c r="B846" s="18" t="s">
        <v>9</v>
      </c>
      <c r="C846" s="19">
        <f>40152+(3*365)</f>
        <v>41247</v>
      </c>
      <c r="D846" s="18" t="s">
        <v>80</v>
      </c>
      <c r="E846" s="18" t="s">
        <v>66</v>
      </c>
      <c r="F846" s="21">
        <v>936</v>
      </c>
    </row>
    <row r="847" spans="2:6" x14ac:dyDescent="0.25">
      <c r="B847" s="18" t="s">
        <v>18</v>
      </c>
      <c r="C847" s="19">
        <f>40718+(3*365)</f>
        <v>41813</v>
      </c>
      <c r="D847" s="18" t="s">
        <v>71</v>
      </c>
      <c r="E847" s="18" t="s">
        <v>69</v>
      </c>
      <c r="F847" s="21">
        <v>576</v>
      </c>
    </row>
    <row r="848" spans="2:6" x14ac:dyDescent="0.25">
      <c r="B848" s="18" t="s">
        <v>25</v>
      </c>
      <c r="C848" s="19">
        <f>40898+(3*365)</f>
        <v>41993</v>
      </c>
      <c r="D848" s="18" t="s">
        <v>78</v>
      </c>
      <c r="E848" s="18" t="s">
        <v>66</v>
      </c>
      <c r="F848" s="21">
        <v>544</v>
      </c>
    </row>
    <row r="849" spans="2:6" x14ac:dyDescent="0.25">
      <c r="B849" s="18" t="s">
        <v>18</v>
      </c>
      <c r="C849" s="19">
        <f>40973+(3*365)</f>
        <v>42068</v>
      </c>
      <c r="D849" s="18" t="s">
        <v>68</v>
      </c>
      <c r="E849" s="18" t="s">
        <v>66</v>
      </c>
      <c r="F849" s="21">
        <v>840</v>
      </c>
    </row>
    <row r="850" spans="2:6" x14ac:dyDescent="0.25">
      <c r="B850" s="18" t="s">
        <v>11</v>
      </c>
      <c r="C850" s="19">
        <f>41105+(3*365)</f>
        <v>42200</v>
      </c>
      <c r="D850" s="18" t="s">
        <v>60</v>
      </c>
      <c r="E850" s="18" t="s">
        <v>72</v>
      </c>
      <c r="F850" s="21">
        <v>1736</v>
      </c>
    </row>
    <row r="851" spans="2:6" x14ac:dyDescent="0.25">
      <c r="B851" s="18" t="s">
        <v>25</v>
      </c>
      <c r="C851" s="19">
        <f>40941+(3*365)</f>
        <v>42036</v>
      </c>
      <c r="D851" s="18" t="s">
        <v>78</v>
      </c>
      <c r="E851" s="18" t="s">
        <v>63</v>
      </c>
      <c r="F851" s="21">
        <v>928</v>
      </c>
    </row>
    <row r="852" spans="2:6" x14ac:dyDescent="0.25">
      <c r="B852" s="18" t="s">
        <v>21</v>
      </c>
      <c r="C852" s="19">
        <f>40504+(3*365)</f>
        <v>41599</v>
      </c>
      <c r="D852" s="18" t="s">
        <v>58</v>
      </c>
      <c r="E852" s="18" t="s">
        <v>61</v>
      </c>
      <c r="F852" s="21">
        <v>854</v>
      </c>
    </row>
    <row r="853" spans="2:6" x14ac:dyDescent="0.25">
      <c r="B853" s="18" t="s">
        <v>10</v>
      </c>
      <c r="C853" s="19">
        <f>40188+(3*365)</f>
        <v>41283</v>
      </c>
      <c r="D853" s="18" t="s">
        <v>67</v>
      </c>
      <c r="E853" s="18" t="s">
        <v>69</v>
      </c>
      <c r="F853" s="21">
        <v>3672</v>
      </c>
    </row>
    <row r="854" spans="2:6" x14ac:dyDescent="0.25">
      <c r="B854" s="18" t="s">
        <v>11</v>
      </c>
      <c r="C854" s="19">
        <f>41004+(3*365)</f>
        <v>42099</v>
      </c>
      <c r="D854" s="18" t="s">
        <v>60</v>
      </c>
      <c r="E854" s="18" t="s">
        <v>69</v>
      </c>
      <c r="F854" s="21">
        <v>5856</v>
      </c>
    </row>
    <row r="855" spans="2:6" x14ac:dyDescent="0.25">
      <c r="B855" s="18" t="s">
        <v>31</v>
      </c>
      <c r="C855" s="19">
        <f>40289+(3*365)</f>
        <v>41384</v>
      </c>
      <c r="D855" s="18" t="s">
        <v>76</v>
      </c>
      <c r="E855" s="18" t="s">
        <v>69</v>
      </c>
      <c r="F855" s="21">
        <v>1836</v>
      </c>
    </row>
    <row r="856" spans="2:6" x14ac:dyDescent="0.25">
      <c r="B856" s="18" t="s">
        <v>31</v>
      </c>
      <c r="C856" s="19">
        <f>40322+(3*365)</f>
        <v>41417</v>
      </c>
      <c r="D856" s="18" t="s">
        <v>76</v>
      </c>
      <c r="E856" s="18" t="s">
        <v>69</v>
      </c>
      <c r="F856" s="21">
        <v>1062</v>
      </c>
    </row>
    <row r="857" spans="2:6" x14ac:dyDescent="0.25">
      <c r="B857" s="18" t="s">
        <v>18</v>
      </c>
      <c r="C857" s="19">
        <f>40338+(3*365)</f>
        <v>41433</v>
      </c>
      <c r="D857" s="18" t="s">
        <v>71</v>
      </c>
      <c r="E857" s="18" t="s">
        <v>75</v>
      </c>
      <c r="F857" s="21">
        <v>888</v>
      </c>
    </row>
    <row r="858" spans="2:6" x14ac:dyDescent="0.25">
      <c r="B858" s="18" t="s">
        <v>21</v>
      </c>
      <c r="C858" s="19">
        <f>40296+(3*365)</f>
        <v>41391</v>
      </c>
      <c r="D858" s="18" t="s">
        <v>58</v>
      </c>
      <c r="E858" s="18" t="s">
        <v>75</v>
      </c>
      <c r="F858" s="21">
        <v>222</v>
      </c>
    </row>
    <row r="859" spans="2:6" x14ac:dyDescent="0.25">
      <c r="B859" s="18" t="s">
        <v>8</v>
      </c>
      <c r="C859" s="19">
        <f>39910+(3*365)</f>
        <v>41005</v>
      </c>
      <c r="D859" s="18" t="s">
        <v>77</v>
      </c>
      <c r="E859" s="18" t="s">
        <v>75</v>
      </c>
      <c r="F859" s="21">
        <v>480</v>
      </c>
    </row>
    <row r="860" spans="2:6" x14ac:dyDescent="0.25">
      <c r="B860" s="18" t="s">
        <v>18</v>
      </c>
      <c r="C860" s="19">
        <f>40805+(3*365)</f>
        <v>41900</v>
      </c>
      <c r="D860" s="18" t="s">
        <v>71</v>
      </c>
      <c r="E860" s="18" t="s">
        <v>66</v>
      </c>
      <c r="F860" s="21">
        <v>1824</v>
      </c>
    </row>
    <row r="861" spans="2:6" x14ac:dyDescent="0.25">
      <c r="B861" s="18" t="s">
        <v>9</v>
      </c>
      <c r="C861" s="19">
        <f>40566+(3*365)</f>
        <v>41661</v>
      </c>
      <c r="D861" s="18" t="s">
        <v>80</v>
      </c>
      <c r="E861" s="18" t="s">
        <v>66</v>
      </c>
      <c r="F861" s="21">
        <v>1806</v>
      </c>
    </row>
    <row r="862" spans="2:6" x14ac:dyDescent="0.25">
      <c r="B862" s="18" t="s">
        <v>21</v>
      </c>
      <c r="C862" s="19">
        <f>40667+(3*365)</f>
        <v>41762</v>
      </c>
      <c r="D862" s="18" t="s">
        <v>73</v>
      </c>
      <c r="E862" s="18" t="s">
        <v>69</v>
      </c>
      <c r="F862" s="21">
        <v>2256</v>
      </c>
    </row>
    <row r="863" spans="2:6" x14ac:dyDescent="0.25">
      <c r="B863" s="18" t="s">
        <v>10</v>
      </c>
      <c r="C863" s="19">
        <f>40277+(3*365)</f>
        <v>41372</v>
      </c>
      <c r="D863" s="18" t="s">
        <v>67</v>
      </c>
      <c r="E863" s="18" t="s">
        <v>61</v>
      </c>
      <c r="F863" s="21">
        <v>1134</v>
      </c>
    </row>
    <row r="864" spans="2:6" x14ac:dyDescent="0.25">
      <c r="B864" s="18" t="s">
        <v>31</v>
      </c>
      <c r="C864" s="19">
        <f>39828+(3*365)</f>
        <v>40923</v>
      </c>
      <c r="D864" s="18" t="s">
        <v>76</v>
      </c>
      <c r="E864" s="18" t="s">
        <v>69</v>
      </c>
      <c r="F864" s="21">
        <v>2781</v>
      </c>
    </row>
    <row r="865" spans="2:6" x14ac:dyDescent="0.25">
      <c r="B865" s="18" t="s">
        <v>9</v>
      </c>
      <c r="C865" s="19">
        <f>40500+(3*365)</f>
        <v>41595</v>
      </c>
      <c r="D865" s="18" t="s">
        <v>62</v>
      </c>
      <c r="E865" s="18" t="s">
        <v>72</v>
      </c>
      <c r="F865" s="21">
        <v>2328</v>
      </c>
    </row>
    <row r="866" spans="2:6" x14ac:dyDescent="0.25">
      <c r="B866" s="18" t="s">
        <v>11</v>
      </c>
      <c r="C866" s="19">
        <f>40466+(3*365)</f>
        <v>41561</v>
      </c>
      <c r="D866" s="18" t="s">
        <v>74</v>
      </c>
      <c r="E866" s="18" t="s">
        <v>61</v>
      </c>
      <c r="F866" s="21">
        <v>630</v>
      </c>
    </row>
    <row r="867" spans="2:6" x14ac:dyDescent="0.25">
      <c r="B867" s="18" t="s">
        <v>8</v>
      </c>
      <c r="C867" s="19">
        <f>40537+(3*365)</f>
        <v>41632</v>
      </c>
      <c r="D867" s="18" t="s">
        <v>77</v>
      </c>
      <c r="E867" s="18" t="s">
        <v>63</v>
      </c>
      <c r="F867" s="21">
        <v>392</v>
      </c>
    </row>
    <row r="868" spans="2:6" x14ac:dyDescent="0.25">
      <c r="B868" s="18" t="s">
        <v>25</v>
      </c>
      <c r="C868" s="19">
        <f>40915+(3*365)</f>
        <v>42010</v>
      </c>
      <c r="D868" s="18" t="s">
        <v>79</v>
      </c>
      <c r="E868" s="18" t="s">
        <v>63</v>
      </c>
      <c r="F868" s="21">
        <v>410</v>
      </c>
    </row>
    <row r="869" spans="2:6" x14ac:dyDescent="0.25">
      <c r="B869" s="18" t="s">
        <v>21</v>
      </c>
      <c r="C869" s="19">
        <f>41274+(3*365)</f>
        <v>42369</v>
      </c>
      <c r="D869" s="18" t="s">
        <v>58</v>
      </c>
      <c r="E869" s="18" t="s">
        <v>69</v>
      </c>
      <c r="F869" s="21">
        <v>3360</v>
      </c>
    </row>
    <row r="870" spans="2:6" x14ac:dyDescent="0.25">
      <c r="B870" s="18" t="s">
        <v>10</v>
      </c>
      <c r="C870" s="19">
        <f>40375+(3*365)</f>
        <v>41470</v>
      </c>
      <c r="D870" s="18" t="s">
        <v>65</v>
      </c>
      <c r="E870" s="18" t="s">
        <v>64</v>
      </c>
      <c r="F870" s="21">
        <v>10296</v>
      </c>
    </row>
    <row r="871" spans="2:6" x14ac:dyDescent="0.25">
      <c r="B871" s="18" t="s">
        <v>9</v>
      </c>
      <c r="C871" s="19">
        <f>40092+(3*365)</f>
        <v>41187</v>
      </c>
      <c r="D871" s="18" t="s">
        <v>80</v>
      </c>
      <c r="E871" s="18" t="s">
        <v>69</v>
      </c>
      <c r="F871" s="21">
        <v>1584</v>
      </c>
    </row>
    <row r="872" spans="2:6" x14ac:dyDescent="0.25">
      <c r="B872" s="18" t="s">
        <v>25</v>
      </c>
      <c r="C872" s="19">
        <f>41046+(3*365)</f>
        <v>42141</v>
      </c>
      <c r="D872" s="18" t="s">
        <v>79</v>
      </c>
      <c r="E872" s="18" t="s">
        <v>75</v>
      </c>
      <c r="F872" s="21">
        <v>180</v>
      </c>
    </row>
    <row r="873" spans="2:6" x14ac:dyDescent="0.25">
      <c r="B873" s="18" t="s">
        <v>9</v>
      </c>
      <c r="C873" s="19">
        <f>40133+(3*365)</f>
        <v>41228</v>
      </c>
      <c r="D873" s="18" t="s">
        <v>62</v>
      </c>
      <c r="E873" s="18" t="s">
        <v>69</v>
      </c>
      <c r="F873" s="21">
        <v>780</v>
      </c>
    </row>
    <row r="874" spans="2:6" x14ac:dyDescent="0.25">
      <c r="B874" s="18" t="s">
        <v>8</v>
      </c>
      <c r="C874" s="19">
        <f>40349+(3*365)</f>
        <v>41444</v>
      </c>
      <c r="D874" s="18" t="s">
        <v>77</v>
      </c>
      <c r="E874" s="18" t="s">
        <v>59</v>
      </c>
      <c r="F874" s="21">
        <v>96</v>
      </c>
    </row>
    <row r="875" spans="2:6" x14ac:dyDescent="0.25">
      <c r="B875" s="18" t="s">
        <v>10</v>
      </c>
      <c r="C875" s="19">
        <f>39840+(3*365)</f>
        <v>40935</v>
      </c>
      <c r="D875" s="18" t="s">
        <v>65</v>
      </c>
      <c r="E875" s="18" t="s">
        <v>72</v>
      </c>
      <c r="F875" s="21">
        <v>3156</v>
      </c>
    </row>
    <row r="876" spans="2:6" x14ac:dyDescent="0.25">
      <c r="B876" s="18" t="s">
        <v>9</v>
      </c>
      <c r="C876" s="19">
        <f>41250+(3*365)</f>
        <v>42345</v>
      </c>
      <c r="D876" s="18" t="s">
        <v>62</v>
      </c>
      <c r="E876" s="18" t="s">
        <v>72</v>
      </c>
      <c r="F876" s="21">
        <v>204</v>
      </c>
    </row>
    <row r="877" spans="2:6" x14ac:dyDescent="0.25">
      <c r="B877" s="18" t="s">
        <v>9</v>
      </c>
      <c r="C877" s="19">
        <f>40930+(3*365)</f>
        <v>42025</v>
      </c>
      <c r="D877" s="18" t="s">
        <v>80</v>
      </c>
      <c r="E877" s="18" t="s">
        <v>66</v>
      </c>
      <c r="F877" s="21">
        <v>474</v>
      </c>
    </row>
    <row r="878" spans="2:6" x14ac:dyDescent="0.25">
      <c r="B878" s="18" t="s">
        <v>9</v>
      </c>
      <c r="C878" s="19">
        <f>40834+(3*365)</f>
        <v>41929</v>
      </c>
      <c r="D878" s="18" t="s">
        <v>62</v>
      </c>
      <c r="E878" s="18" t="s">
        <v>64</v>
      </c>
      <c r="F878" s="21">
        <v>13914</v>
      </c>
    </row>
    <row r="879" spans="2:6" x14ac:dyDescent="0.25">
      <c r="B879" s="18" t="s">
        <v>18</v>
      </c>
      <c r="C879" s="19">
        <f>40905+(3*365)</f>
        <v>42000</v>
      </c>
      <c r="D879" s="18" t="s">
        <v>68</v>
      </c>
      <c r="E879" s="18" t="s">
        <v>61</v>
      </c>
      <c r="F879" s="21">
        <v>812</v>
      </c>
    </row>
    <row r="880" spans="2:6" x14ac:dyDescent="0.25">
      <c r="B880" s="18" t="s">
        <v>8</v>
      </c>
      <c r="C880" s="19">
        <f>41026+(3*365)</f>
        <v>42121</v>
      </c>
      <c r="D880" s="18" t="s">
        <v>81</v>
      </c>
      <c r="E880" s="18" t="s">
        <v>64</v>
      </c>
      <c r="F880" s="21">
        <v>15504</v>
      </c>
    </row>
    <row r="881" spans="2:6" x14ac:dyDescent="0.25">
      <c r="B881" s="18" t="s">
        <v>18</v>
      </c>
      <c r="C881" s="19">
        <f>39869+(3*365)</f>
        <v>40964</v>
      </c>
      <c r="D881" s="18" t="s">
        <v>71</v>
      </c>
      <c r="E881" s="18" t="s">
        <v>72</v>
      </c>
      <c r="F881" s="21">
        <v>274</v>
      </c>
    </row>
    <row r="882" spans="2:6" x14ac:dyDescent="0.25">
      <c r="B882" s="18" t="s">
        <v>10</v>
      </c>
      <c r="C882" s="19">
        <f>40482+(3*365)</f>
        <v>41577</v>
      </c>
      <c r="D882" s="18" t="s">
        <v>65</v>
      </c>
      <c r="E882" s="18" t="s">
        <v>69</v>
      </c>
      <c r="F882" s="21">
        <v>3504</v>
      </c>
    </row>
    <row r="883" spans="2:6" x14ac:dyDescent="0.25">
      <c r="B883" s="18" t="s">
        <v>31</v>
      </c>
      <c r="C883" s="19">
        <f>40099+(3*365)</f>
        <v>41194</v>
      </c>
      <c r="D883" s="18" t="s">
        <v>76</v>
      </c>
      <c r="E883" s="18" t="s">
        <v>59</v>
      </c>
      <c r="F883" s="21">
        <v>156</v>
      </c>
    </row>
    <row r="884" spans="2:6" x14ac:dyDescent="0.25">
      <c r="B884" s="18" t="s">
        <v>21</v>
      </c>
      <c r="C884" s="19">
        <f>40209+(3*365)</f>
        <v>41304</v>
      </c>
      <c r="D884" s="18" t="s">
        <v>58</v>
      </c>
      <c r="E884" s="18" t="s">
        <v>72</v>
      </c>
      <c r="F884" s="21">
        <v>464</v>
      </c>
    </row>
    <row r="885" spans="2:6" x14ac:dyDescent="0.25">
      <c r="B885" s="18" t="s">
        <v>21</v>
      </c>
      <c r="C885" s="19">
        <f>40753+(3*365)</f>
        <v>41848</v>
      </c>
      <c r="D885" s="18" t="s">
        <v>73</v>
      </c>
      <c r="E885" s="18" t="s">
        <v>59</v>
      </c>
      <c r="F885" s="21">
        <v>144</v>
      </c>
    </row>
    <row r="886" spans="2:6" x14ac:dyDescent="0.25">
      <c r="B886" s="18" t="s">
        <v>10</v>
      </c>
      <c r="C886" s="19">
        <f>40126+(3*365)</f>
        <v>41221</v>
      </c>
      <c r="D886" s="18" t="s">
        <v>67</v>
      </c>
      <c r="E886" s="18" t="s">
        <v>59</v>
      </c>
      <c r="F886" s="21">
        <v>540</v>
      </c>
    </row>
    <row r="887" spans="2:6" x14ac:dyDescent="0.25">
      <c r="B887" s="18" t="s">
        <v>8</v>
      </c>
      <c r="C887" s="19">
        <f>41027+(3*365)</f>
        <v>42122</v>
      </c>
      <c r="D887" s="18" t="s">
        <v>81</v>
      </c>
      <c r="E887" s="18" t="s">
        <v>66</v>
      </c>
      <c r="F887" s="21">
        <v>1008</v>
      </c>
    </row>
    <row r="888" spans="2:6" x14ac:dyDescent="0.25">
      <c r="B888" s="18" t="s">
        <v>10</v>
      </c>
      <c r="C888" s="19">
        <f>41060+(3*365)</f>
        <v>42155</v>
      </c>
      <c r="D888" s="18" t="s">
        <v>67</v>
      </c>
      <c r="E888" s="18" t="s">
        <v>72</v>
      </c>
      <c r="F888" s="21">
        <v>4920</v>
      </c>
    </row>
    <row r="889" spans="2:6" x14ac:dyDescent="0.25">
      <c r="B889" s="18" t="s">
        <v>21</v>
      </c>
      <c r="C889" s="19">
        <f>39983+(3*365)</f>
        <v>41078</v>
      </c>
      <c r="D889" s="18" t="s">
        <v>58</v>
      </c>
      <c r="E889" s="18" t="s">
        <v>72</v>
      </c>
      <c r="F889" s="21">
        <v>620</v>
      </c>
    </row>
    <row r="890" spans="2:6" x14ac:dyDescent="0.25">
      <c r="B890" s="18" t="s">
        <v>25</v>
      </c>
      <c r="C890" s="19">
        <f>40921+(3*365)</f>
        <v>42016</v>
      </c>
      <c r="D890" s="18" t="s">
        <v>79</v>
      </c>
      <c r="E890" s="18" t="s">
        <v>61</v>
      </c>
      <c r="F890" s="21">
        <v>756</v>
      </c>
    </row>
    <row r="891" spans="2:6" x14ac:dyDescent="0.25">
      <c r="B891" s="18" t="s">
        <v>10</v>
      </c>
      <c r="C891" s="19">
        <f>41098+(3*365)</f>
        <v>42193</v>
      </c>
      <c r="D891" s="18" t="s">
        <v>67</v>
      </c>
      <c r="E891" s="18" t="s">
        <v>61</v>
      </c>
      <c r="F891" s="21">
        <v>765</v>
      </c>
    </row>
    <row r="892" spans="2:6" x14ac:dyDescent="0.25">
      <c r="B892" s="18" t="s">
        <v>18</v>
      </c>
      <c r="C892" s="19">
        <f>41134+(3*365)</f>
        <v>42229</v>
      </c>
      <c r="D892" s="18" t="s">
        <v>68</v>
      </c>
      <c r="E892" s="18" t="s">
        <v>64</v>
      </c>
      <c r="F892" s="21">
        <v>6672</v>
      </c>
    </row>
    <row r="893" spans="2:6" x14ac:dyDescent="0.25">
      <c r="B893" s="18" t="s">
        <v>31</v>
      </c>
      <c r="C893" s="19">
        <f>40305+(3*365)</f>
        <v>41400</v>
      </c>
      <c r="D893" s="18" t="s">
        <v>70</v>
      </c>
      <c r="E893" s="18" t="s">
        <v>63</v>
      </c>
      <c r="F893" s="21">
        <v>276</v>
      </c>
    </row>
    <row r="894" spans="2:6" x14ac:dyDescent="0.25">
      <c r="B894" s="18" t="s">
        <v>31</v>
      </c>
      <c r="C894" s="19">
        <f>41200+(3*365)</f>
        <v>42295</v>
      </c>
      <c r="D894" s="18" t="s">
        <v>70</v>
      </c>
      <c r="E894" s="18" t="s">
        <v>59</v>
      </c>
      <c r="F894" s="21">
        <v>252</v>
      </c>
    </row>
    <row r="895" spans="2:6" x14ac:dyDescent="0.25">
      <c r="B895" s="18" t="s">
        <v>18</v>
      </c>
      <c r="C895" s="19">
        <f>40128+(3*365)</f>
        <v>41223</v>
      </c>
      <c r="D895" s="18" t="s">
        <v>68</v>
      </c>
      <c r="E895" s="18" t="s">
        <v>75</v>
      </c>
      <c r="F895" s="21">
        <v>92</v>
      </c>
    </row>
    <row r="896" spans="2:6" x14ac:dyDescent="0.25">
      <c r="B896" s="18" t="s">
        <v>9</v>
      </c>
      <c r="C896" s="19">
        <f>41182+(3*365)</f>
        <v>42277</v>
      </c>
      <c r="D896" s="18" t="s">
        <v>62</v>
      </c>
      <c r="E896" s="18" t="s">
        <v>66</v>
      </c>
      <c r="F896" s="21">
        <v>492</v>
      </c>
    </row>
    <row r="897" spans="2:6" x14ac:dyDescent="0.25">
      <c r="B897" s="18" t="s">
        <v>10</v>
      </c>
      <c r="C897" s="19">
        <f>39833+(3*365)</f>
        <v>40928</v>
      </c>
      <c r="D897" s="18" t="s">
        <v>67</v>
      </c>
      <c r="E897" s="18" t="s">
        <v>64</v>
      </c>
      <c r="F897" s="21">
        <v>15768</v>
      </c>
    </row>
    <row r="898" spans="2:6" x14ac:dyDescent="0.25">
      <c r="B898" s="18" t="s">
        <v>31</v>
      </c>
      <c r="C898" s="19">
        <f>40996+(3*365)</f>
        <v>42091</v>
      </c>
      <c r="D898" s="18" t="s">
        <v>70</v>
      </c>
      <c r="E898" s="18" t="s">
        <v>66</v>
      </c>
      <c r="F898" s="21">
        <v>1281</v>
      </c>
    </row>
    <row r="899" spans="2:6" x14ac:dyDescent="0.25">
      <c r="B899" s="18" t="s">
        <v>8</v>
      </c>
      <c r="C899" s="19">
        <f>40751+(3*365)</f>
        <v>41846</v>
      </c>
      <c r="D899" s="18" t="s">
        <v>77</v>
      </c>
      <c r="E899" s="18" t="s">
        <v>64</v>
      </c>
      <c r="F899" s="21">
        <v>21672</v>
      </c>
    </row>
    <row r="900" spans="2:6" x14ac:dyDescent="0.25">
      <c r="B900" s="18" t="s">
        <v>18</v>
      </c>
      <c r="C900" s="19">
        <f>40758+(3*365)</f>
        <v>41853</v>
      </c>
      <c r="D900" s="18" t="s">
        <v>68</v>
      </c>
      <c r="E900" s="18" t="s">
        <v>59</v>
      </c>
      <c r="F900" s="21">
        <v>972</v>
      </c>
    </row>
    <row r="901" spans="2:6" x14ac:dyDescent="0.25">
      <c r="B901" s="18" t="s">
        <v>18</v>
      </c>
      <c r="C901" s="19">
        <f>41234+(3*365)</f>
        <v>42329</v>
      </c>
      <c r="D901" s="18" t="s">
        <v>68</v>
      </c>
      <c r="E901" s="18" t="s">
        <v>69</v>
      </c>
      <c r="F901" s="21">
        <v>1404</v>
      </c>
    </row>
    <row r="902" spans="2:6" x14ac:dyDescent="0.25">
      <c r="B902" s="18" t="s">
        <v>11</v>
      </c>
      <c r="C902" s="19">
        <f>40885+(3*365)</f>
        <v>41980</v>
      </c>
      <c r="D902" s="18" t="s">
        <v>74</v>
      </c>
      <c r="E902" s="18" t="s">
        <v>75</v>
      </c>
      <c r="F902" s="21">
        <v>756</v>
      </c>
    </row>
    <row r="903" spans="2:6" x14ac:dyDescent="0.25">
      <c r="B903" s="18" t="s">
        <v>25</v>
      </c>
      <c r="C903" s="19">
        <f>40213+(3*365)</f>
        <v>41308</v>
      </c>
      <c r="D903" s="18" t="s">
        <v>79</v>
      </c>
      <c r="E903" s="18" t="s">
        <v>61</v>
      </c>
      <c r="F903" s="21">
        <v>1128</v>
      </c>
    </row>
    <row r="904" spans="2:6" x14ac:dyDescent="0.25">
      <c r="B904" s="18" t="s">
        <v>10</v>
      </c>
      <c r="C904" s="19">
        <f>40305+(3*365)</f>
        <v>41400</v>
      </c>
      <c r="D904" s="18" t="s">
        <v>65</v>
      </c>
      <c r="E904" s="18" t="s">
        <v>66</v>
      </c>
      <c r="F904" s="21">
        <v>768</v>
      </c>
    </row>
    <row r="905" spans="2:6" x14ac:dyDescent="0.25">
      <c r="B905" s="18" t="s">
        <v>31</v>
      </c>
      <c r="C905" s="19">
        <f>41019+(3*365)</f>
        <v>42114</v>
      </c>
      <c r="D905" s="18" t="s">
        <v>70</v>
      </c>
      <c r="E905" s="18" t="s">
        <v>61</v>
      </c>
      <c r="F905" s="21">
        <v>246</v>
      </c>
    </row>
    <row r="906" spans="2:6" x14ac:dyDescent="0.25">
      <c r="B906" s="18" t="s">
        <v>21</v>
      </c>
      <c r="C906" s="19">
        <f>39856+(3*365)</f>
        <v>40951</v>
      </c>
      <c r="D906" s="18" t="s">
        <v>58</v>
      </c>
      <c r="E906" s="18" t="s">
        <v>66</v>
      </c>
      <c r="F906" s="21">
        <v>476</v>
      </c>
    </row>
    <row r="907" spans="2:6" x14ac:dyDescent="0.25">
      <c r="B907" s="18" t="s">
        <v>25</v>
      </c>
      <c r="C907" s="19">
        <f>40483+(3*365)</f>
        <v>41578</v>
      </c>
      <c r="D907" s="18" t="s">
        <v>79</v>
      </c>
      <c r="E907" s="18" t="s">
        <v>75</v>
      </c>
      <c r="F907" s="21">
        <v>306</v>
      </c>
    </row>
    <row r="908" spans="2:6" x14ac:dyDescent="0.25">
      <c r="B908" s="18" t="s">
        <v>25</v>
      </c>
      <c r="C908" s="19">
        <f>40798+(3*365)</f>
        <v>41893</v>
      </c>
      <c r="D908" s="18" t="s">
        <v>79</v>
      </c>
      <c r="E908" s="18" t="s">
        <v>69</v>
      </c>
      <c r="F908" s="21">
        <v>3920</v>
      </c>
    </row>
    <row r="909" spans="2:6" x14ac:dyDescent="0.25">
      <c r="B909" s="18" t="s">
        <v>25</v>
      </c>
      <c r="C909" s="19">
        <f>40297+(3*365)</f>
        <v>41392</v>
      </c>
      <c r="D909" s="18" t="s">
        <v>78</v>
      </c>
      <c r="E909" s="18" t="s">
        <v>72</v>
      </c>
      <c r="F909" s="21">
        <v>2439</v>
      </c>
    </row>
    <row r="910" spans="2:6" x14ac:dyDescent="0.25">
      <c r="B910" s="18" t="s">
        <v>18</v>
      </c>
      <c r="C910" s="19">
        <f>40217+(3*365)</f>
        <v>41312</v>
      </c>
      <c r="D910" s="18" t="s">
        <v>68</v>
      </c>
      <c r="E910" s="18" t="s">
        <v>75</v>
      </c>
      <c r="F910" s="21">
        <v>144</v>
      </c>
    </row>
    <row r="911" spans="2:6" x14ac:dyDescent="0.25">
      <c r="B911" s="18" t="s">
        <v>25</v>
      </c>
      <c r="C911" s="19">
        <f>40727+(3*365)</f>
        <v>41822</v>
      </c>
      <c r="D911" s="18" t="s">
        <v>78</v>
      </c>
      <c r="E911" s="18" t="s">
        <v>72</v>
      </c>
      <c r="F911" s="21">
        <v>792</v>
      </c>
    </row>
    <row r="912" spans="2:6" x14ac:dyDescent="0.25">
      <c r="B912" s="18" t="s">
        <v>8</v>
      </c>
      <c r="C912" s="19">
        <f>40049+(3*365)</f>
        <v>41144</v>
      </c>
      <c r="D912" s="18" t="s">
        <v>77</v>
      </c>
      <c r="E912" s="18" t="s">
        <v>64</v>
      </c>
      <c r="F912" s="21">
        <v>12744</v>
      </c>
    </row>
    <row r="913" spans="2:6" x14ac:dyDescent="0.25">
      <c r="B913" s="18" t="s">
        <v>18</v>
      </c>
      <c r="C913" s="19">
        <f>39827+(3*365)</f>
        <v>40922</v>
      </c>
      <c r="D913" s="18" t="s">
        <v>71</v>
      </c>
      <c r="E913" s="18" t="s">
        <v>59</v>
      </c>
      <c r="F913" s="21">
        <v>288</v>
      </c>
    </row>
    <row r="914" spans="2:6" x14ac:dyDescent="0.25">
      <c r="B914" s="18" t="s">
        <v>10</v>
      </c>
      <c r="C914" s="19">
        <f>41014+(3*365)</f>
        <v>42109</v>
      </c>
      <c r="D914" s="18" t="s">
        <v>67</v>
      </c>
      <c r="E914" s="18" t="s">
        <v>75</v>
      </c>
      <c r="F914" s="21">
        <v>432</v>
      </c>
    </row>
    <row r="915" spans="2:6" x14ac:dyDescent="0.25">
      <c r="B915" s="18" t="s">
        <v>21</v>
      </c>
      <c r="C915" s="19">
        <f>41049+(3*365)</f>
        <v>42144</v>
      </c>
      <c r="D915" s="18" t="s">
        <v>58</v>
      </c>
      <c r="E915" s="18" t="s">
        <v>59</v>
      </c>
      <c r="F915" s="21">
        <v>364</v>
      </c>
    </row>
    <row r="916" spans="2:6" x14ac:dyDescent="0.25">
      <c r="B916" s="18" t="s">
        <v>25</v>
      </c>
      <c r="C916" s="19">
        <f>41158+(3*365)</f>
        <v>42253</v>
      </c>
      <c r="D916" s="18" t="s">
        <v>78</v>
      </c>
      <c r="E916" s="18" t="s">
        <v>72</v>
      </c>
      <c r="F916" s="21">
        <v>1260</v>
      </c>
    </row>
    <row r="917" spans="2:6" x14ac:dyDescent="0.25">
      <c r="B917" s="18" t="s">
        <v>11</v>
      </c>
      <c r="C917" s="19">
        <f>40296+(3*365)</f>
        <v>41391</v>
      </c>
      <c r="D917" s="18" t="s">
        <v>74</v>
      </c>
      <c r="E917" s="18" t="s">
        <v>64</v>
      </c>
      <c r="F917" s="21">
        <v>5190</v>
      </c>
    </row>
    <row r="918" spans="2:6" x14ac:dyDescent="0.25">
      <c r="B918" s="18" t="s">
        <v>18</v>
      </c>
      <c r="C918" s="19">
        <f>40103+(3*365)</f>
        <v>41198</v>
      </c>
      <c r="D918" s="18" t="s">
        <v>71</v>
      </c>
      <c r="E918" s="18" t="s">
        <v>66</v>
      </c>
      <c r="F918" s="21">
        <v>480</v>
      </c>
    </row>
    <row r="919" spans="2:6" x14ac:dyDescent="0.25">
      <c r="B919" s="18" t="s">
        <v>18</v>
      </c>
      <c r="C919" s="19">
        <f>40601+(3*365)</f>
        <v>41696</v>
      </c>
      <c r="D919" s="18" t="s">
        <v>68</v>
      </c>
      <c r="E919" s="18" t="s">
        <v>59</v>
      </c>
      <c r="F919" s="21">
        <v>160</v>
      </c>
    </row>
    <row r="920" spans="2:6" x14ac:dyDescent="0.25">
      <c r="B920" s="18" t="s">
        <v>8</v>
      </c>
      <c r="C920" s="19">
        <f>40342+(3*365)</f>
        <v>41437</v>
      </c>
      <c r="D920" s="18" t="s">
        <v>81</v>
      </c>
      <c r="E920" s="18" t="s">
        <v>64</v>
      </c>
      <c r="F920" s="21">
        <v>4880</v>
      </c>
    </row>
    <row r="921" spans="2:6" x14ac:dyDescent="0.25">
      <c r="B921" s="18" t="s">
        <v>25</v>
      </c>
      <c r="C921" s="19">
        <f>40796+(3*365)</f>
        <v>41891</v>
      </c>
      <c r="D921" s="18" t="s">
        <v>79</v>
      </c>
      <c r="E921" s="18" t="s">
        <v>69</v>
      </c>
      <c r="F921" s="21">
        <v>448</v>
      </c>
    </row>
    <row r="922" spans="2:6" x14ac:dyDescent="0.25">
      <c r="B922" s="18" t="s">
        <v>9</v>
      </c>
      <c r="C922" s="19">
        <f>39987+(3*365)</f>
        <v>41082</v>
      </c>
      <c r="D922" s="18" t="s">
        <v>80</v>
      </c>
      <c r="E922" s="18" t="s">
        <v>59</v>
      </c>
      <c r="F922" s="21">
        <v>378</v>
      </c>
    </row>
    <row r="923" spans="2:6" x14ac:dyDescent="0.25">
      <c r="B923" s="18" t="s">
        <v>31</v>
      </c>
      <c r="C923" s="19">
        <f>40904+(3*365)</f>
        <v>41999</v>
      </c>
      <c r="D923" s="18" t="s">
        <v>70</v>
      </c>
      <c r="E923" s="18" t="s">
        <v>64</v>
      </c>
      <c r="F923" s="21">
        <v>7296</v>
      </c>
    </row>
    <row r="924" spans="2:6" x14ac:dyDescent="0.25">
      <c r="B924" s="18" t="s">
        <v>8</v>
      </c>
      <c r="C924" s="19">
        <f>41066+(3*365)</f>
        <v>42161</v>
      </c>
      <c r="D924" s="18" t="s">
        <v>81</v>
      </c>
      <c r="E924" s="18" t="s">
        <v>75</v>
      </c>
      <c r="F924" s="21">
        <v>612</v>
      </c>
    </row>
    <row r="925" spans="2:6" x14ac:dyDescent="0.25">
      <c r="B925" s="18" t="s">
        <v>8</v>
      </c>
      <c r="C925" s="19">
        <f>39888+(3*365)</f>
        <v>40983</v>
      </c>
      <c r="D925" s="18" t="s">
        <v>77</v>
      </c>
      <c r="E925" s="18" t="s">
        <v>63</v>
      </c>
      <c r="F925" s="21">
        <v>408</v>
      </c>
    </row>
    <row r="926" spans="2:6" x14ac:dyDescent="0.25">
      <c r="B926" s="18" t="s">
        <v>21</v>
      </c>
      <c r="C926" s="19">
        <f>40617+(3*365)</f>
        <v>41712</v>
      </c>
      <c r="D926" s="18" t="s">
        <v>58</v>
      </c>
      <c r="E926" s="18" t="s">
        <v>69</v>
      </c>
      <c r="F926" s="21">
        <v>2364</v>
      </c>
    </row>
    <row r="927" spans="2:6" x14ac:dyDescent="0.25">
      <c r="B927" s="18" t="s">
        <v>21</v>
      </c>
      <c r="C927" s="19">
        <f>39866+(3*365)</f>
        <v>40961</v>
      </c>
      <c r="D927" s="18" t="s">
        <v>58</v>
      </c>
      <c r="E927" s="18" t="s">
        <v>64</v>
      </c>
      <c r="F927" s="21">
        <v>1233</v>
      </c>
    </row>
    <row r="928" spans="2:6" x14ac:dyDescent="0.25">
      <c r="B928" s="18" t="s">
        <v>31</v>
      </c>
      <c r="C928" s="19">
        <f>40188+(3*365)</f>
        <v>41283</v>
      </c>
      <c r="D928" s="18" t="s">
        <v>70</v>
      </c>
      <c r="E928" s="18" t="s">
        <v>66</v>
      </c>
      <c r="F928" s="21">
        <v>2025</v>
      </c>
    </row>
    <row r="929" spans="2:6" x14ac:dyDescent="0.25">
      <c r="B929" s="18" t="s">
        <v>9</v>
      </c>
      <c r="C929" s="19">
        <f>40932+(3*365)</f>
        <v>42027</v>
      </c>
      <c r="D929" s="18" t="s">
        <v>62</v>
      </c>
      <c r="E929" s="18" t="s">
        <v>64</v>
      </c>
      <c r="F929" s="21">
        <v>465</v>
      </c>
    </row>
    <row r="930" spans="2:6" x14ac:dyDescent="0.25">
      <c r="B930" s="18" t="s">
        <v>31</v>
      </c>
      <c r="C930" s="19">
        <f>40548+(3*365)</f>
        <v>41643</v>
      </c>
      <c r="D930" s="18" t="s">
        <v>70</v>
      </c>
      <c r="E930" s="18" t="s">
        <v>63</v>
      </c>
      <c r="F930" s="21">
        <v>1782</v>
      </c>
    </row>
    <row r="931" spans="2:6" x14ac:dyDescent="0.25">
      <c r="B931" s="18" t="s">
        <v>21</v>
      </c>
      <c r="C931" s="19">
        <f>40298+(3*365)</f>
        <v>41393</v>
      </c>
      <c r="D931" s="18" t="s">
        <v>73</v>
      </c>
      <c r="E931" s="18" t="s">
        <v>63</v>
      </c>
      <c r="F931" s="21">
        <v>168</v>
      </c>
    </row>
    <row r="932" spans="2:6" x14ac:dyDescent="0.25">
      <c r="B932" s="18" t="s">
        <v>11</v>
      </c>
      <c r="C932" s="19">
        <f>40750+(3*365)</f>
        <v>41845</v>
      </c>
      <c r="D932" s="18" t="s">
        <v>60</v>
      </c>
      <c r="E932" s="18" t="s">
        <v>66</v>
      </c>
      <c r="F932" s="21">
        <v>1728</v>
      </c>
    </row>
    <row r="933" spans="2:6" x14ac:dyDescent="0.25">
      <c r="B933" s="18" t="s">
        <v>31</v>
      </c>
      <c r="C933" s="19">
        <f>40885+(3*365)</f>
        <v>41980</v>
      </c>
      <c r="D933" s="18" t="s">
        <v>70</v>
      </c>
      <c r="E933" s="18" t="s">
        <v>69</v>
      </c>
      <c r="F933" s="21">
        <v>498</v>
      </c>
    </row>
    <row r="934" spans="2:6" x14ac:dyDescent="0.25">
      <c r="B934" s="18" t="s">
        <v>8</v>
      </c>
      <c r="C934" s="19">
        <f>40246+(3*365)</f>
        <v>41341</v>
      </c>
      <c r="D934" s="18" t="s">
        <v>77</v>
      </c>
      <c r="E934" s="18" t="s">
        <v>64</v>
      </c>
      <c r="F934" s="21">
        <v>2000</v>
      </c>
    </row>
    <row r="935" spans="2:6" x14ac:dyDescent="0.25">
      <c r="B935" s="18" t="s">
        <v>21</v>
      </c>
      <c r="C935" s="19">
        <f>40298+(3*365)</f>
        <v>41393</v>
      </c>
      <c r="D935" s="18" t="s">
        <v>58</v>
      </c>
      <c r="E935" s="18" t="s">
        <v>66</v>
      </c>
      <c r="F935" s="21">
        <v>928</v>
      </c>
    </row>
    <row r="936" spans="2:6" x14ac:dyDescent="0.25">
      <c r="B936" s="18" t="s">
        <v>18</v>
      </c>
      <c r="C936" s="19">
        <f>40709+(3*365)</f>
        <v>41804</v>
      </c>
      <c r="D936" s="18" t="s">
        <v>68</v>
      </c>
      <c r="E936" s="18" t="s">
        <v>64</v>
      </c>
      <c r="F936" s="21">
        <v>15876</v>
      </c>
    </row>
    <row r="937" spans="2:6" x14ac:dyDescent="0.25">
      <c r="B937" s="18" t="s">
        <v>10</v>
      </c>
      <c r="C937" s="19">
        <f>40116+(3*365)</f>
        <v>41211</v>
      </c>
      <c r="D937" s="18" t="s">
        <v>67</v>
      </c>
      <c r="E937" s="18" t="s">
        <v>69</v>
      </c>
      <c r="F937" s="21">
        <v>324</v>
      </c>
    </row>
    <row r="938" spans="2:6" x14ac:dyDescent="0.25">
      <c r="B938" s="18" t="s">
        <v>21</v>
      </c>
      <c r="C938" s="19">
        <f>40899+(3*365)</f>
        <v>41994</v>
      </c>
      <c r="D938" s="18" t="s">
        <v>58</v>
      </c>
      <c r="E938" s="18" t="s">
        <v>64</v>
      </c>
      <c r="F938" s="21">
        <v>14385</v>
      </c>
    </row>
    <row r="939" spans="2:6" x14ac:dyDescent="0.25">
      <c r="B939" s="18" t="s">
        <v>21</v>
      </c>
      <c r="C939" s="19">
        <f>40874+(3*365)</f>
        <v>41969</v>
      </c>
      <c r="D939" s="18" t="s">
        <v>58</v>
      </c>
      <c r="E939" s="18" t="s">
        <v>64</v>
      </c>
      <c r="F939" s="21">
        <v>6444</v>
      </c>
    </row>
    <row r="940" spans="2:6" x14ac:dyDescent="0.25">
      <c r="B940" s="18" t="s">
        <v>21</v>
      </c>
      <c r="C940" s="19">
        <f>40205+(3*365)</f>
        <v>41300</v>
      </c>
      <c r="D940" s="18" t="s">
        <v>73</v>
      </c>
      <c r="E940" s="18" t="s">
        <v>66</v>
      </c>
      <c r="F940" s="21">
        <v>256</v>
      </c>
    </row>
    <row r="941" spans="2:6" x14ac:dyDescent="0.25">
      <c r="B941" s="18" t="s">
        <v>10</v>
      </c>
      <c r="C941" s="19">
        <f>39945+(3*365)</f>
        <v>41040</v>
      </c>
      <c r="D941" s="18" t="s">
        <v>65</v>
      </c>
      <c r="E941" s="18" t="s">
        <v>61</v>
      </c>
      <c r="F941" s="21">
        <v>260</v>
      </c>
    </row>
    <row r="942" spans="2:6" x14ac:dyDescent="0.25">
      <c r="B942" s="18" t="s">
        <v>25</v>
      </c>
      <c r="C942" s="19">
        <f>40882+(3*365)</f>
        <v>41977</v>
      </c>
      <c r="D942" s="18" t="s">
        <v>78</v>
      </c>
      <c r="E942" s="18" t="s">
        <v>69</v>
      </c>
      <c r="F942" s="21">
        <v>1020</v>
      </c>
    </row>
    <row r="943" spans="2:6" x14ac:dyDescent="0.25">
      <c r="B943" s="18" t="s">
        <v>21</v>
      </c>
      <c r="C943" s="19">
        <f>41150+(3*365)</f>
        <v>42245</v>
      </c>
      <c r="D943" s="18" t="s">
        <v>73</v>
      </c>
      <c r="E943" s="18" t="s">
        <v>63</v>
      </c>
      <c r="F943" s="21">
        <v>280</v>
      </c>
    </row>
    <row r="944" spans="2:6" x14ac:dyDescent="0.25">
      <c r="B944" s="18" t="s">
        <v>8</v>
      </c>
      <c r="C944" s="19">
        <f>40282+(3*365)</f>
        <v>41377</v>
      </c>
      <c r="D944" s="18" t="s">
        <v>77</v>
      </c>
      <c r="E944" s="18" t="s">
        <v>66</v>
      </c>
      <c r="F944" s="21">
        <v>696</v>
      </c>
    </row>
    <row r="945" spans="2:6" x14ac:dyDescent="0.25">
      <c r="B945" s="18" t="s">
        <v>11</v>
      </c>
      <c r="C945" s="19">
        <f>40102+(3*365)</f>
        <v>41197</v>
      </c>
      <c r="D945" s="18" t="s">
        <v>74</v>
      </c>
      <c r="E945" s="18" t="s">
        <v>63</v>
      </c>
      <c r="F945" s="21">
        <v>540</v>
      </c>
    </row>
    <row r="946" spans="2:6" x14ac:dyDescent="0.25">
      <c r="B946" s="18" t="s">
        <v>31</v>
      </c>
      <c r="C946" s="19">
        <f>41121+(3*365)</f>
        <v>42216</v>
      </c>
      <c r="D946" s="18" t="s">
        <v>76</v>
      </c>
      <c r="E946" s="18" t="s">
        <v>75</v>
      </c>
      <c r="F946" s="21">
        <v>456</v>
      </c>
    </row>
    <row r="947" spans="2:6" x14ac:dyDescent="0.25">
      <c r="B947" s="18" t="s">
        <v>18</v>
      </c>
      <c r="C947" s="19">
        <f>39939+(3*365)</f>
        <v>41034</v>
      </c>
      <c r="D947" s="18" t="s">
        <v>71</v>
      </c>
      <c r="E947" s="18" t="s">
        <v>64</v>
      </c>
      <c r="F947" s="21">
        <v>5712</v>
      </c>
    </row>
    <row r="948" spans="2:6" x14ac:dyDescent="0.25">
      <c r="B948" s="18" t="s">
        <v>18</v>
      </c>
      <c r="C948" s="19">
        <f>40130+(3*365)</f>
        <v>41225</v>
      </c>
      <c r="D948" s="18" t="s">
        <v>71</v>
      </c>
      <c r="E948" s="18" t="s">
        <v>66</v>
      </c>
      <c r="F948" s="21">
        <v>868</v>
      </c>
    </row>
    <row r="949" spans="2:6" x14ac:dyDescent="0.25">
      <c r="B949" s="18" t="s">
        <v>25</v>
      </c>
      <c r="C949" s="19">
        <f>40780+(3*365)</f>
        <v>41875</v>
      </c>
      <c r="D949" s="18" t="s">
        <v>79</v>
      </c>
      <c r="E949" s="18" t="s">
        <v>61</v>
      </c>
      <c r="F949" s="21">
        <v>248</v>
      </c>
    </row>
    <row r="950" spans="2:6" x14ac:dyDescent="0.25">
      <c r="B950" s="18" t="s">
        <v>8</v>
      </c>
      <c r="C950" s="19">
        <f>41271+(3*365)</f>
        <v>42366</v>
      </c>
      <c r="D950" s="18" t="s">
        <v>77</v>
      </c>
      <c r="E950" s="18" t="s">
        <v>63</v>
      </c>
      <c r="F950" s="21">
        <v>488</v>
      </c>
    </row>
    <row r="951" spans="2:6" x14ac:dyDescent="0.25">
      <c r="B951" s="18" t="s">
        <v>25</v>
      </c>
      <c r="C951" s="19">
        <f>39837+(3*365)</f>
        <v>40932</v>
      </c>
      <c r="D951" s="18" t="s">
        <v>79</v>
      </c>
      <c r="E951" s="18" t="s">
        <v>59</v>
      </c>
      <c r="F951" s="21">
        <v>256</v>
      </c>
    </row>
    <row r="952" spans="2:6" x14ac:dyDescent="0.25">
      <c r="B952" s="18" t="s">
        <v>31</v>
      </c>
      <c r="C952" s="19">
        <f>40730+(3*365)</f>
        <v>41825</v>
      </c>
      <c r="D952" s="18" t="s">
        <v>76</v>
      </c>
      <c r="E952" s="18" t="s">
        <v>64</v>
      </c>
      <c r="F952" s="21">
        <v>2277</v>
      </c>
    </row>
    <row r="953" spans="2:6" x14ac:dyDescent="0.25">
      <c r="B953" s="18" t="s">
        <v>18</v>
      </c>
      <c r="C953" s="19">
        <f>40000+(3*365)</f>
        <v>41095</v>
      </c>
      <c r="D953" s="18" t="s">
        <v>68</v>
      </c>
      <c r="E953" s="18" t="s">
        <v>72</v>
      </c>
      <c r="F953" s="21">
        <v>732</v>
      </c>
    </row>
    <row r="954" spans="2:6" x14ac:dyDescent="0.25">
      <c r="B954" s="18" t="s">
        <v>11</v>
      </c>
      <c r="C954" s="19">
        <f>41032+(3*365)</f>
        <v>42127</v>
      </c>
      <c r="D954" s="18" t="s">
        <v>60</v>
      </c>
      <c r="E954" s="18" t="s">
        <v>69</v>
      </c>
      <c r="F954" s="21">
        <v>836</v>
      </c>
    </row>
    <row r="955" spans="2:6" x14ac:dyDescent="0.25">
      <c r="B955" s="18" t="s">
        <v>9</v>
      </c>
      <c r="C955" s="19">
        <f>40423+(3*365)</f>
        <v>41518</v>
      </c>
      <c r="D955" s="18" t="s">
        <v>80</v>
      </c>
      <c r="E955" s="18" t="s">
        <v>69</v>
      </c>
      <c r="F955" s="21">
        <v>750</v>
      </c>
    </row>
    <row r="956" spans="2:6" x14ac:dyDescent="0.25">
      <c r="B956" s="18" t="s">
        <v>18</v>
      </c>
      <c r="C956" s="19">
        <f>40452+(3*365)</f>
        <v>41547</v>
      </c>
      <c r="D956" s="18" t="s">
        <v>71</v>
      </c>
      <c r="E956" s="18" t="s">
        <v>63</v>
      </c>
      <c r="F956" s="21">
        <v>729</v>
      </c>
    </row>
    <row r="957" spans="2:6" x14ac:dyDescent="0.25">
      <c r="B957" s="18" t="s">
        <v>10</v>
      </c>
      <c r="C957" s="19">
        <f>39995+(3*365)</f>
        <v>41090</v>
      </c>
      <c r="D957" s="18" t="s">
        <v>67</v>
      </c>
      <c r="E957" s="18" t="s">
        <v>61</v>
      </c>
      <c r="F957" s="21">
        <v>172</v>
      </c>
    </row>
    <row r="958" spans="2:6" x14ac:dyDescent="0.25">
      <c r="B958" s="18" t="s">
        <v>18</v>
      </c>
      <c r="C958" s="19">
        <f>40692+(3*365)</f>
        <v>41787</v>
      </c>
      <c r="D958" s="18" t="s">
        <v>68</v>
      </c>
      <c r="E958" s="18" t="s">
        <v>66</v>
      </c>
      <c r="F958" s="21">
        <v>980</v>
      </c>
    </row>
    <row r="959" spans="2:6" x14ac:dyDescent="0.25">
      <c r="B959" s="18" t="s">
        <v>9</v>
      </c>
      <c r="C959" s="19">
        <f>40888+(3*365)</f>
        <v>41983</v>
      </c>
      <c r="D959" s="18" t="s">
        <v>62</v>
      </c>
      <c r="E959" s="18" t="s">
        <v>72</v>
      </c>
      <c r="F959" s="21">
        <v>2580</v>
      </c>
    </row>
    <row r="960" spans="2:6" x14ac:dyDescent="0.25">
      <c r="B960" s="18" t="s">
        <v>8</v>
      </c>
      <c r="C960" s="19">
        <f>40819+(3*365)</f>
        <v>41914</v>
      </c>
      <c r="D960" s="18" t="s">
        <v>77</v>
      </c>
      <c r="E960" s="18" t="s">
        <v>75</v>
      </c>
      <c r="F960" s="21">
        <v>512</v>
      </c>
    </row>
    <row r="961" spans="2:6" x14ac:dyDescent="0.25">
      <c r="B961" s="18" t="s">
        <v>11</v>
      </c>
      <c r="C961" s="19">
        <f>40809+(3*365)</f>
        <v>41904</v>
      </c>
      <c r="D961" s="18" t="s">
        <v>60</v>
      </c>
      <c r="E961" s="18" t="s">
        <v>61</v>
      </c>
      <c r="F961" s="21">
        <v>1428</v>
      </c>
    </row>
    <row r="962" spans="2:6" x14ac:dyDescent="0.25">
      <c r="B962" s="18" t="s">
        <v>10</v>
      </c>
      <c r="C962" s="19">
        <f>40493+(3*365)</f>
        <v>41588</v>
      </c>
      <c r="D962" s="18" t="s">
        <v>67</v>
      </c>
      <c r="E962" s="18" t="s">
        <v>64</v>
      </c>
      <c r="F962" s="21">
        <v>6552</v>
      </c>
    </row>
    <row r="963" spans="2:6" x14ac:dyDescent="0.25">
      <c r="B963" s="18" t="s">
        <v>18</v>
      </c>
      <c r="C963" s="19">
        <f>41159+(3*365)</f>
        <v>42254</v>
      </c>
      <c r="D963" s="18" t="s">
        <v>71</v>
      </c>
      <c r="E963" s="18" t="s">
        <v>61</v>
      </c>
      <c r="F963" s="21">
        <v>696</v>
      </c>
    </row>
    <row r="964" spans="2:6" x14ac:dyDescent="0.25">
      <c r="B964" s="18" t="s">
        <v>31</v>
      </c>
      <c r="C964" s="19">
        <f>40285+(3*365)</f>
        <v>41380</v>
      </c>
      <c r="D964" s="18" t="s">
        <v>70</v>
      </c>
      <c r="E964" s="18" t="s">
        <v>72</v>
      </c>
      <c r="F964" s="21">
        <v>1710</v>
      </c>
    </row>
    <row r="965" spans="2:6" x14ac:dyDescent="0.25">
      <c r="B965" s="18" t="s">
        <v>18</v>
      </c>
      <c r="C965" s="19">
        <f>40410+(3*365)</f>
        <v>41505</v>
      </c>
      <c r="D965" s="18" t="s">
        <v>68</v>
      </c>
      <c r="E965" s="18" t="s">
        <v>75</v>
      </c>
      <c r="F965" s="21">
        <v>1053</v>
      </c>
    </row>
    <row r="966" spans="2:6" x14ac:dyDescent="0.25">
      <c r="B966" s="18" t="s">
        <v>31</v>
      </c>
      <c r="C966" s="19">
        <f>41202+(3*365)</f>
        <v>42297</v>
      </c>
      <c r="D966" s="18" t="s">
        <v>76</v>
      </c>
      <c r="E966" s="18" t="s">
        <v>72</v>
      </c>
      <c r="F966" s="21">
        <v>3258</v>
      </c>
    </row>
    <row r="967" spans="2:6" x14ac:dyDescent="0.25">
      <c r="B967" s="18" t="s">
        <v>10</v>
      </c>
      <c r="C967" s="19">
        <f>40719+(3*365)</f>
        <v>41814</v>
      </c>
      <c r="D967" s="18" t="s">
        <v>65</v>
      </c>
      <c r="E967" s="18" t="s">
        <v>69</v>
      </c>
      <c r="F967" s="21">
        <v>1624</v>
      </c>
    </row>
    <row r="968" spans="2:6" x14ac:dyDescent="0.25">
      <c r="B968" s="18" t="s">
        <v>25</v>
      </c>
      <c r="C968" s="19">
        <f>40646+(3*365)</f>
        <v>41741</v>
      </c>
      <c r="D968" s="18" t="s">
        <v>79</v>
      </c>
      <c r="E968" s="18" t="s">
        <v>59</v>
      </c>
      <c r="F968" s="21">
        <v>828</v>
      </c>
    </row>
    <row r="969" spans="2:6" x14ac:dyDescent="0.25">
      <c r="B969" s="18" t="s">
        <v>21</v>
      </c>
      <c r="C969" s="19">
        <f>40225+(3*365)</f>
        <v>41320</v>
      </c>
      <c r="D969" s="18" t="s">
        <v>73</v>
      </c>
      <c r="E969" s="18" t="s">
        <v>64</v>
      </c>
      <c r="F969" s="21">
        <v>1050</v>
      </c>
    </row>
    <row r="970" spans="2:6" x14ac:dyDescent="0.25">
      <c r="B970" s="18" t="s">
        <v>11</v>
      </c>
      <c r="C970" s="19">
        <f>40710+(3*365)</f>
        <v>41805</v>
      </c>
      <c r="D970" s="18" t="s">
        <v>60</v>
      </c>
      <c r="E970" s="18" t="s">
        <v>66</v>
      </c>
      <c r="F970" s="21">
        <v>816</v>
      </c>
    </row>
    <row r="971" spans="2:6" x14ac:dyDescent="0.25">
      <c r="B971" s="18" t="s">
        <v>10</v>
      </c>
      <c r="C971" s="19">
        <f>40034+(3*365)</f>
        <v>41129</v>
      </c>
      <c r="D971" s="18" t="s">
        <v>65</v>
      </c>
      <c r="E971" s="18" t="s">
        <v>64</v>
      </c>
      <c r="F971" s="21">
        <v>5024</v>
      </c>
    </row>
    <row r="972" spans="2:6" x14ac:dyDescent="0.25">
      <c r="B972" s="18" t="s">
        <v>8</v>
      </c>
      <c r="C972" s="19">
        <f>40209+(3*365)</f>
        <v>41304</v>
      </c>
      <c r="D972" s="18" t="s">
        <v>77</v>
      </c>
      <c r="E972" s="18" t="s">
        <v>66</v>
      </c>
      <c r="F972" s="21">
        <v>2688</v>
      </c>
    </row>
    <row r="973" spans="2:6" x14ac:dyDescent="0.25">
      <c r="B973" s="18" t="s">
        <v>18</v>
      </c>
      <c r="C973" s="19">
        <f>40649+(3*365)</f>
        <v>41744</v>
      </c>
      <c r="D973" s="18" t="s">
        <v>71</v>
      </c>
      <c r="E973" s="18" t="s">
        <v>75</v>
      </c>
      <c r="F973" s="21">
        <v>1008</v>
      </c>
    </row>
    <row r="974" spans="2:6" x14ac:dyDescent="0.25">
      <c r="B974" s="18" t="s">
        <v>25</v>
      </c>
      <c r="C974" s="19">
        <f>40666+(3*365)</f>
        <v>41761</v>
      </c>
      <c r="D974" s="18" t="s">
        <v>78</v>
      </c>
      <c r="E974" s="18" t="s">
        <v>63</v>
      </c>
      <c r="F974" s="21">
        <v>312</v>
      </c>
    </row>
    <row r="975" spans="2:6" x14ac:dyDescent="0.25">
      <c r="B975" s="18" t="s">
        <v>9</v>
      </c>
      <c r="C975" s="19">
        <f>39856+(3*365)</f>
        <v>40951</v>
      </c>
      <c r="D975" s="18" t="s">
        <v>80</v>
      </c>
      <c r="E975" s="18" t="s">
        <v>75</v>
      </c>
      <c r="F975" s="21">
        <v>210</v>
      </c>
    </row>
    <row r="976" spans="2:6" x14ac:dyDescent="0.25">
      <c r="B976" s="18" t="s">
        <v>18</v>
      </c>
      <c r="C976" s="19">
        <f>41150+(3*365)</f>
        <v>42245</v>
      </c>
      <c r="D976" s="18" t="s">
        <v>68</v>
      </c>
      <c r="E976" s="18" t="s">
        <v>63</v>
      </c>
      <c r="F976" s="21">
        <v>414</v>
      </c>
    </row>
    <row r="977" spans="2:6" x14ac:dyDescent="0.25">
      <c r="B977" s="18" t="s">
        <v>31</v>
      </c>
      <c r="C977" s="19">
        <f>39963+(3*365)</f>
        <v>41058</v>
      </c>
      <c r="D977" s="18" t="s">
        <v>70</v>
      </c>
      <c r="E977" s="18" t="s">
        <v>61</v>
      </c>
      <c r="F977" s="21">
        <v>396</v>
      </c>
    </row>
    <row r="978" spans="2:6" x14ac:dyDescent="0.25">
      <c r="B978" s="18" t="s">
        <v>25</v>
      </c>
      <c r="C978" s="19">
        <f>40619+(3*365)</f>
        <v>41714</v>
      </c>
      <c r="D978" s="18" t="s">
        <v>78</v>
      </c>
      <c r="E978" s="18" t="s">
        <v>72</v>
      </c>
      <c r="F978" s="21">
        <v>396</v>
      </c>
    </row>
    <row r="979" spans="2:6" x14ac:dyDescent="0.25">
      <c r="B979" s="18" t="s">
        <v>25</v>
      </c>
      <c r="C979" s="19">
        <f>40896+(3*365)</f>
        <v>41991</v>
      </c>
      <c r="D979" s="18" t="s">
        <v>78</v>
      </c>
      <c r="E979" s="18" t="s">
        <v>61</v>
      </c>
      <c r="F979" s="21">
        <v>1944</v>
      </c>
    </row>
    <row r="980" spans="2:6" x14ac:dyDescent="0.25">
      <c r="B980" s="18" t="s">
        <v>10</v>
      </c>
      <c r="C980" s="19">
        <f>40956+(3*365)</f>
        <v>42051</v>
      </c>
      <c r="D980" s="18" t="s">
        <v>65</v>
      </c>
      <c r="E980" s="18" t="s">
        <v>64</v>
      </c>
      <c r="F980" s="21">
        <v>3084</v>
      </c>
    </row>
    <row r="981" spans="2:6" x14ac:dyDescent="0.25">
      <c r="B981" s="18" t="s">
        <v>10</v>
      </c>
      <c r="C981" s="19">
        <f>41127+(3*365)</f>
        <v>42222</v>
      </c>
      <c r="D981" s="18" t="s">
        <v>65</v>
      </c>
      <c r="E981" s="18" t="s">
        <v>66</v>
      </c>
      <c r="F981" s="21">
        <v>183</v>
      </c>
    </row>
    <row r="982" spans="2:6" x14ac:dyDescent="0.25">
      <c r="B982" s="18" t="s">
        <v>21</v>
      </c>
      <c r="C982" s="19">
        <f>39842+(3*365)</f>
        <v>40937</v>
      </c>
      <c r="D982" s="18" t="s">
        <v>58</v>
      </c>
      <c r="E982" s="18" t="s">
        <v>59</v>
      </c>
      <c r="F982" s="21">
        <v>185</v>
      </c>
    </row>
    <row r="983" spans="2:6" x14ac:dyDescent="0.25">
      <c r="B983" s="18" t="s">
        <v>9</v>
      </c>
      <c r="C983" s="19">
        <f>40568+(3*365)</f>
        <v>41663</v>
      </c>
      <c r="D983" s="18" t="s">
        <v>80</v>
      </c>
      <c r="E983" s="18" t="s">
        <v>63</v>
      </c>
      <c r="F983" s="21">
        <v>324</v>
      </c>
    </row>
    <row r="984" spans="2:6" x14ac:dyDescent="0.25">
      <c r="B984" s="18" t="s">
        <v>10</v>
      </c>
      <c r="C984" s="19">
        <f>40169+(3*365)</f>
        <v>41264</v>
      </c>
      <c r="D984" s="18" t="s">
        <v>67</v>
      </c>
      <c r="E984" s="18" t="s">
        <v>66</v>
      </c>
      <c r="F984" s="21">
        <v>1008</v>
      </c>
    </row>
    <row r="985" spans="2:6" x14ac:dyDescent="0.25">
      <c r="B985" s="18" t="s">
        <v>18</v>
      </c>
      <c r="C985" s="19">
        <f>41088+(3*365)</f>
        <v>42183</v>
      </c>
      <c r="D985" s="18" t="s">
        <v>71</v>
      </c>
      <c r="E985" s="18" t="s">
        <v>64</v>
      </c>
      <c r="F985" s="21">
        <v>7560</v>
      </c>
    </row>
    <row r="986" spans="2:6" x14ac:dyDescent="0.25">
      <c r="B986" s="18" t="s">
        <v>10</v>
      </c>
      <c r="C986" s="19">
        <f>40501+(3*365)</f>
        <v>41596</v>
      </c>
      <c r="D986" s="18" t="s">
        <v>65</v>
      </c>
      <c r="E986" s="18" t="s">
        <v>69</v>
      </c>
      <c r="F986" s="21">
        <v>1431</v>
      </c>
    </row>
    <row r="987" spans="2:6" x14ac:dyDescent="0.25">
      <c r="B987" s="18" t="s">
        <v>25</v>
      </c>
      <c r="C987" s="19">
        <f>41045+(3*365)</f>
        <v>42140</v>
      </c>
      <c r="D987" s="18" t="s">
        <v>78</v>
      </c>
      <c r="E987" s="18" t="s">
        <v>66</v>
      </c>
      <c r="F987" s="21">
        <v>246</v>
      </c>
    </row>
    <row r="988" spans="2:6" x14ac:dyDescent="0.25">
      <c r="B988" s="18" t="s">
        <v>11</v>
      </c>
      <c r="C988" s="19">
        <f>40591+(3*365)</f>
        <v>41686</v>
      </c>
      <c r="D988" s="18" t="s">
        <v>74</v>
      </c>
      <c r="E988" s="18" t="s">
        <v>75</v>
      </c>
      <c r="F988" s="21">
        <v>513</v>
      </c>
    </row>
    <row r="989" spans="2:6" x14ac:dyDescent="0.25">
      <c r="B989" s="18" t="s">
        <v>10</v>
      </c>
      <c r="C989" s="19">
        <f>40063+(3*365)</f>
        <v>41158</v>
      </c>
      <c r="D989" s="18" t="s">
        <v>65</v>
      </c>
      <c r="E989" s="18" t="s">
        <v>63</v>
      </c>
      <c r="F989" s="21">
        <v>456</v>
      </c>
    </row>
    <row r="990" spans="2:6" x14ac:dyDescent="0.25">
      <c r="B990" s="18" t="s">
        <v>9</v>
      </c>
      <c r="C990" s="19">
        <f>41208+(3*365)</f>
        <v>42303</v>
      </c>
      <c r="D990" s="18" t="s">
        <v>62</v>
      </c>
      <c r="E990" s="18" t="s">
        <v>63</v>
      </c>
      <c r="F990" s="21">
        <v>402</v>
      </c>
    </row>
    <row r="991" spans="2:6" x14ac:dyDescent="0.25">
      <c r="B991" s="18" t="s">
        <v>18</v>
      </c>
      <c r="C991" s="19">
        <f>39875+(3*365)</f>
        <v>40970</v>
      </c>
      <c r="D991" s="18" t="s">
        <v>68</v>
      </c>
      <c r="E991" s="18" t="s">
        <v>61</v>
      </c>
      <c r="F991" s="21">
        <v>306</v>
      </c>
    </row>
    <row r="992" spans="2:6" x14ac:dyDescent="0.25">
      <c r="B992" s="18" t="s">
        <v>9</v>
      </c>
      <c r="C992" s="19">
        <f>40163+(3*365)</f>
        <v>41258</v>
      </c>
      <c r="D992" s="18" t="s">
        <v>62</v>
      </c>
      <c r="E992" s="18" t="s">
        <v>66</v>
      </c>
      <c r="F992" s="21">
        <v>848</v>
      </c>
    </row>
    <row r="993" spans="2:6" x14ac:dyDescent="0.25">
      <c r="B993" s="18" t="s">
        <v>18</v>
      </c>
      <c r="C993" s="19">
        <f>40804+(3*365)</f>
        <v>41899</v>
      </c>
      <c r="D993" s="18" t="s">
        <v>68</v>
      </c>
      <c r="E993" s="18" t="s">
        <v>59</v>
      </c>
      <c r="F993" s="21">
        <v>252</v>
      </c>
    </row>
    <row r="994" spans="2:6" x14ac:dyDescent="0.25">
      <c r="B994" s="18" t="s">
        <v>25</v>
      </c>
      <c r="C994" s="19">
        <f>39991+(3*365)</f>
        <v>41086</v>
      </c>
      <c r="D994" s="18" t="s">
        <v>78</v>
      </c>
      <c r="E994" s="18" t="s">
        <v>75</v>
      </c>
      <c r="F994" s="21">
        <v>448</v>
      </c>
    </row>
    <row r="995" spans="2:6" x14ac:dyDescent="0.25">
      <c r="B995" s="18" t="s">
        <v>10</v>
      </c>
      <c r="C995" s="19">
        <f>40110+(3*365)</f>
        <v>41205</v>
      </c>
      <c r="D995" s="18" t="s">
        <v>65</v>
      </c>
      <c r="E995" s="18" t="s">
        <v>59</v>
      </c>
      <c r="F995" s="21">
        <v>416</v>
      </c>
    </row>
    <row r="996" spans="2:6" x14ac:dyDescent="0.25">
      <c r="B996" s="18" t="s">
        <v>25</v>
      </c>
      <c r="C996" s="19">
        <f>41202+(3*365)</f>
        <v>42297</v>
      </c>
      <c r="D996" s="18" t="s">
        <v>78</v>
      </c>
      <c r="E996" s="18" t="s">
        <v>72</v>
      </c>
      <c r="F996" s="21">
        <v>936</v>
      </c>
    </row>
    <row r="997" spans="2:6" x14ac:dyDescent="0.25">
      <c r="B997" s="18" t="s">
        <v>8</v>
      </c>
      <c r="C997" s="19">
        <f>41118+(3*365)</f>
        <v>42213</v>
      </c>
      <c r="D997" s="18" t="s">
        <v>81</v>
      </c>
      <c r="E997" s="18" t="s">
        <v>66</v>
      </c>
      <c r="F997" s="21">
        <v>384</v>
      </c>
    </row>
    <row r="998" spans="2:6" x14ac:dyDescent="0.25">
      <c r="B998" s="18" t="s">
        <v>11</v>
      </c>
      <c r="C998" s="19">
        <f>41224+(3*365)</f>
        <v>42319</v>
      </c>
      <c r="D998" s="18" t="s">
        <v>74</v>
      </c>
      <c r="E998" s="18" t="s">
        <v>66</v>
      </c>
      <c r="F998" s="21">
        <v>952</v>
      </c>
    </row>
    <row r="999" spans="2:6" x14ac:dyDescent="0.25">
      <c r="B999" s="18" t="s">
        <v>9</v>
      </c>
      <c r="C999" s="19">
        <f>40290+(3*365)</f>
        <v>41385</v>
      </c>
      <c r="D999" s="18" t="s">
        <v>62</v>
      </c>
      <c r="E999" s="18" t="s">
        <v>61</v>
      </c>
      <c r="F999" s="21">
        <v>276</v>
      </c>
    </row>
    <row r="1000" spans="2:6" x14ac:dyDescent="0.25">
      <c r="B1000" s="18" t="s">
        <v>21</v>
      </c>
      <c r="C1000" s="19">
        <f>40870+(3*365)</f>
        <v>41965</v>
      </c>
      <c r="D1000" s="18" t="s">
        <v>73</v>
      </c>
      <c r="E1000" s="18" t="s">
        <v>64</v>
      </c>
      <c r="F1000" s="21">
        <v>4851</v>
      </c>
    </row>
    <row r="1001" spans="2:6" x14ac:dyDescent="0.25">
      <c r="B1001" s="18" t="s">
        <v>9</v>
      </c>
      <c r="C1001" s="19">
        <f>40345+(3*365)</f>
        <v>41440</v>
      </c>
      <c r="D1001" s="18" t="s">
        <v>62</v>
      </c>
      <c r="E1001" s="18" t="s">
        <v>59</v>
      </c>
      <c r="F1001" s="21">
        <v>220</v>
      </c>
    </row>
    <row r="1002" spans="2:6" x14ac:dyDescent="0.25">
      <c r="B1002" s="18" t="s">
        <v>18</v>
      </c>
      <c r="C1002" s="19">
        <f>40959+(3*365)</f>
        <v>42054</v>
      </c>
      <c r="D1002" s="18" t="s">
        <v>71</v>
      </c>
      <c r="E1002" s="18" t="s">
        <v>75</v>
      </c>
      <c r="F1002" s="21">
        <v>480</v>
      </c>
    </row>
    <row r="1003" spans="2:6" x14ac:dyDescent="0.25">
      <c r="B1003" s="18" t="s">
        <v>18</v>
      </c>
      <c r="C1003" s="19">
        <f>40580+(3*365)</f>
        <v>41675</v>
      </c>
      <c r="D1003" s="18" t="s">
        <v>71</v>
      </c>
      <c r="E1003" s="18" t="s">
        <v>66</v>
      </c>
      <c r="F1003" s="21">
        <v>1476</v>
      </c>
    </row>
    <row r="1004" spans="2:6" x14ac:dyDescent="0.25">
      <c r="B1004" s="18" t="s">
        <v>8</v>
      </c>
      <c r="C1004" s="19">
        <f>39890+(3*365)</f>
        <v>40985</v>
      </c>
      <c r="D1004" s="18" t="s">
        <v>81</v>
      </c>
      <c r="E1004" s="18" t="s">
        <v>66</v>
      </c>
      <c r="F1004" s="21">
        <v>720</v>
      </c>
    </row>
    <row r="1005" spans="2:6" x14ac:dyDescent="0.25">
      <c r="B1005" s="18" t="s">
        <v>31</v>
      </c>
      <c r="C1005" s="19">
        <f>40029+(3*365)</f>
        <v>41124</v>
      </c>
      <c r="D1005" s="18" t="s">
        <v>70</v>
      </c>
      <c r="E1005" s="18" t="s">
        <v>69</v>
      </c>
      <c r="F1005" s="21">
        <v>675</v>
      </c>
    </row>
    <row r="1006" spans="2:6" x14ac:dyDescent="0.25">
      <c r="B1006" s="18" t="s">
        <v>9</v>
      </c>
      <c r="C1006" s="19">
        <f>40378+(3*365)</f>
        <v>41473</v>
      </c>
      <c r="D1006" s="18" t="s">
        <v>80</v>
      </c>
      <c r="E1006" s="18" t="s">
        <v>61</v>
      </c>
      <c r="F1006" s="21">
        <v>468</v>
      </c>
    </row>
    <row r="1007" spans="2:6" x14ac:dyDescent="0.25">
      <c r="B1007" s="18" t="s">
        <v>8</v>
      </c>
      <c r="C1007" s="19">
        <f>40881+(3*365)</f>
        <v>41976</v>
      </c>
      <c r="D1007" s="18" t="s">
        <v>81</v>
      </c>
      <c r="E1007" s="18" t="s">
        <v>61</v>
      </c>
      <c r="F1007" s="21">
        <v>704</v>
      </c>
    </row>
    <row r="1008" spans="2:6" x14ac:dyDescent="0.25">
      <c r="B1008" s="18" t="s">
        <v>11</v>
      </c>
      <c r="C1008" s="19">
        <f>40535+(3*365)</f>
        <v>41630</v>
      </c>
      <c r="D1008" s="18" t="s">
        <v>60</v>
      </c>
      <c r="E1008" s="18" t="s">
        <v>75</v>
      </c>
      <c r="F1008" s="21">
        <v>252</v>
      </c>
    </row>
    <row r="1009" spans="2:6" x14ac:dyDescent="0.25">
      <c r="B1009" s="18" t="s">
        <v>8</v>
      </c>
      <c r="C1009" s="19">
        <f>40263+(3*365)</f>
        <v>41358</v>
      </c>
      <c r="D1009" s="18" t="s">
        <v>77</v>
      </c>
      <c r="E1009" s="18" t="s">
        <v>59</v>
      </c>
      <c r="F1009" s="21">
        <v>320</v>
      </c>
    </row>
    <row r="1010" spans="2:6" x14ac:dyDescent="0.25">
      <c r="B1010" s="18" t="s">
        <v>25</v>
      </c>
      <c r="C1010" s="19">
        <f>41090+(3*365)</f>
        <v>42185</v>
      </c>
      <c r="D1010" s="18" t="s">
        <v>78</v>
      </c>
      <c r="E1010" s="18" t="s">
        <v>72</v>
      </c>
      <c r="F1010" s="21">
        <v>46</v>
      </c>
    </row>
    <row r="1011" spans="2:6" x14ac:dyDescent="0.25">
      <c r="B1011" s="18" t="s">
        <v>31</v>
      </c>
      <c r="C1011" s="19">
        <f>40594+(3*365)</f>
        <v>41689</v>
      </c>
      <c r="D1011" s="18" t="s">
        <v>70</v>
      </c>
      <c r="E1011" s="18" t="s">
        <v>59</v>
      </c>
      <c r="F1011" s="21">
        <v>744</v>
      </c>
    </row>
    <row r="1012" spans="2:6" x14ac:dyDescent="0.25">
      <c r="B1012" s="18" t="s">
        <v>11</v>
      </c>
      <c r="C1012" s="19">
        <f>40034+(3*365)</f>
        <v>41129</v>
      </c>
      <c r="D1012" s="18" t="s">
        <v>60</v>
      </c>
      <c r="E1012" s="18" t="s">
        <v>63</v>
      </c>
      <c r="F1012" s="21">
        <v>270</v>
      </c>
    </row>
    <row r="1013" spans="2:6" x14ac:dyDescent="0.25">
      <c r="B1013" s="18" t="s">
        <v>8</v>
      </c>
      <c r="C1013" s="19">
        <f>40346+(3*365)</f>
        <v>41441</v>
      </c>
      <c r="D1013" s="18" t="s">
        <v>81</v>
      </c>
      <c r="E1013" s="18" t="s">
        <v>63</v>
      </c>
      <c r="F1013" s="21">
        <v>1088</v>
      </c>
    </row>
    <row r="1014" spans="2:6" x14ac:dyDescent="0.25">
      <c r="B1014" s="18" t="s">
        <v>25</v>
      </c>
      <c r="C1014" s="19">
        <f>41177+(3*365)</f>
        <v>42272</v>
      </c>
      <c r="D1014" s="18" t="s">
        <v>78</v>
      </c>
      <c r="E1014" s="18" t="s">
        <v>75</v>
      </c>
      <c r="F1014" s="21">
        <v>72</v>
      </c>
    </row>
    <row r="1015" spans="2:6" x14ac:dyDescent="0.25">
      <c r="B1015" s="18" t="s">
        <v>18</v>
      </c>
      <c r="C1015" s="19">
        <f>40440+(3*365)</f>
        <v>41535</v>
      </c>
      <c r="D1015" s="18" t="s">
        <v>68</v>
      </c>
      <c r="E1015" s="18" t="s">
        <v>75</v>
      </c>
      <c r="F1015" s="21">
        <v>414</v>
      </c>
    </row>
    <row r="1016" spans="2:6" x14ac:dyDescent="0.25">
      <c r="B1016" s="18" t="s">
        <v>25</v>
      </c>
      <c r="C1016" s="19">
        <f>40215+(3*365)</f>
        <v>41310</v>
      </c>
      <c r="D1016" s="18" t="s">
        <v>78</v>
      </c>
      <c r="E1016" s="18" t="s">
        <v>75</v>
      </c>
      <c r="F1016" s="21">
        <v>648</v>
      </c>
    </row>
    <row r="1017" spans="2:6" x14ac:dyDescent="0.25">
      <c r="B1017" s="18" t="s">
        <v>31</v>
      </c>
      <c r="C1017" s="19">
        <f>40726+(3*365)</f>
        <v>41821</v>
      </c>
      <c r="D1017" s="18" t="s">
        <v>70</v>
      </c>
      <c r="E1017" s="18" t="s">
        <v>61</v>
      </c>
      <c r="F1017" s="21">
        <v>234</v>
      </c>
    </row>
    <row r="1018" spans="2:6" x14ac:dyDescent="0.25">
      <c r="B1018" s="18" t="s">
        <v>9</v>
      </c>
      <c r="C1018" s="19">
        <f>40574+(3*365)</f>
        <v>41669</v>
      </c>
      <c r="D1018" s="18" t="s">
        <v>62</v>
      </c>
      <c r="E1018" s="18" t="s">
        <v>59</v>
      </c>
      <c r="F1018" s="21">
        <v>180</v>
      </c>
    </row>
    <row r="1019" spans="2:6" x14ac:dyDescent="0.25">
      <c r="B1019" s="18" t="s">
        <v>9</v>
      </c>
      <c r="C1019" s="19">
        <f>40517+(3*365)</f>
        <v>41612</v>
      </c>
      <c r="D1019" s="18" t="s">
        <v>80</v>
      </c>
      <c r="E1019" s="18" t="s">
        <v>63</v>
      </c>
      <c r="F1019" s="21">
        <v>252</v>
      </c>
    </row>
    <row r="1020" spans="2:6" x14ac:dyDescent="0.25">
      <c r="B1020" s="18" t="s">
        <v>11</v>
      </c>
      <c r="C1020" s="19">
        <f>40707+(3*365)</f>
        <v>41802</v>
      </c>
      <c r="D1020" s="18" t="s">
        <v>60</v>
      </c>
      <c r="E1020" s="18" t="s">
        <v>63</v>
      </c>
      <c r="F1020" s="21">
        <v>525</v>
      </c>
    </row>
    <row r="1021" spans="2:6" x14ac:dyDescent="0.25">
      <c r="B1021" s="18" t="s">
        <v>9</v>
      </c>
      <c r="C1021" s="19">
        <f>40846+(3*365)</f>
        <v>41941</v>
      </c>
      <c r="D1021" s="18" t="s">
        <v>80</v>
      </c>
      <c r="E1021" s="18" t="s">
        <v>72</v>
      </c>
      <c r="F1021" s="21">
        <v>954</v>
      </c>
    </row>
    <row r="1022" spans="2:6" x14ac:dyDescent="0.25">
      <c r="B1022" s="18" t="s">
        <v>18</v>
      </c>
      <c r="C1022" s="19">
        <f>40522+(3*365)</f>
        <v>41617</v>
      </c>
      <c r="D1022" s="18" t="s">
        <v>71</v>
      </c>
      <c r="E1022" s="18" t="s">
        <v>69</v>
      </c>
      <c r="F1022" s="21">
        <v>1080</v>
      </c>
    </row>
    <row r="1023" spans="2:6" x14ac:dyDescent="0.25">
      <c r="B1023" s="18" t="s">
        <v>31</v>
      </c>
      <c r="C1023" s="19">
        <f>41236+(3*365)</f>
        <v>42331</v>
      </c>
      <c r="D1023" s="18" t="s">
        <v>76</v>
      </c>
      <c r="E1023" s="18" t="s">
        <v>61</v>
      </c>
      <c r="F1023" s="21">
        <v>168</v>
      </c>
    </row>
    <row r="1024" spans="2:6" x14ac:dyDescent="0.25">
      <c r="B1024" s="18" t="s">
        <v>25</v>
      </c>
      <c r="C1024" s="19">
        <f>40452+(3*365)</f>
        <v>41547</v>
      </c>
      <c r="D1024" s="18" t="s">
        <v>78</v>
      </c>
      <c r="E1024" s="18" t="s">
        <v>59</v>
      </c>
      <c r="F1024" s="21">
        <v>90</v>
      </c>
    </row>
    <row r="1025" spans="2:6" x14ac:dyDescent="0.25">
      <c r="B1025" s="18" t="s">
        <v>18</v>
      </c>
      <c r="C1025" s="19">
        <f>40182+(3*365)</f>
        <v>41277</v>
      </c>
      <c r="D1025" s="18" t="s">
        <v>68</v>
      </c>
      <c r="E1025" s="18" t="s">
        <v>72</v>
      </c>
      <c r="F1025" s="21">
        <v>384</v>
      </c>
    </row>
    <row r="1026" spans="2:6" x14ac:dyDescent="0.25">
      <c r="B1026" s="18" t="s">
        <v>21</v>
      </c>
      <c r="C1026" s="19">
        <f>41077+(3*365)</f>
        <v>42172</v>
      </c>
      <c r="D1026" s="18" t="s">
        <v>73</v>
      </c>
      <c r="E1026" s="18" t="s">
        <v>59</v>
      </c>
      <c r="F1026" s="21">
        <v>184</v>
      </c>
    </row>
    <row r="1027" spans="2:6" x14ac:dyDescent="0.25">
      <c r="B1027" s="18" t="s">
        <v>10</v>
      </c>
      <c r="C1027" s="19">
        <f>40285+(3*365)</f>
        <v>41380</v>
      </c>
      <c r="D1027" s="18" t="s">
        <v>65</v>
      </c>
      <c r="E1027" s="18" t="s">
        <v>72</v>
      </c>
      <c r="F1027" s="21">
        <v>654</v>
      </c>
    </row>
    <row r="1028" spans="2:6" x14ac:dyDescent="0.25">
      <c r="B1028" s="18" t="s">
        <v>21</v>
      </c>
      <c r="C1028" s="19">
        <f>40892+(3*365)</f>
        <v>41987</v>
      </c>
      <c r="D1028" s="18" t="s">
        <v>73</v>
      </c>
      <c r="E1028" s="18" t="s">
        <v>61</v>
      </c>
      <c r="F1028" s="21">
        <v>972</v>
      </c>
    </row>
    <row r="1029" spans="2:6" x14ac:dyDescent="0.25">
      <c r="B1029" s="18" t="s">
        <v>11</v>
      </c>
      <c r="C1029" s="19">
        <f>40051+(3*365)</f>
        <v>41146</v>
      </c>
      <c r="D1029" s="18" t="s">
        <v>60</v>
      </c>
      <c r="E1029" s="18" t="s">
        <v>64</v>
      </c>
      <c r="F1029" s="21">
        <v>4578</v>
      </c>
    </row>
    <row r="1030" spans="2:6" x14ac:dyDescent="0.25">
      <c r="B1030" s="18" t="s">
        <v>8</v>
      </c>
      <c r="C1030" s="19">
        <f>40631+(3*365)</f>
        <v>41726</v>
      </c>
      <c r="D1030" s="18" t="s">
        <v>77</v>
      </c>
      <c r="E1030" s="18" t="s">
        <v>66</v>
      </c>
      <c r="F1030" s="21">
        <v>360</v>
      </c>
    </row>
    <row r="1031" spans="2:6" x14ac:dyDescent="0.25">
      <c r="B1031" s="18" t="s">
        <v>8</v>
      </c>
      <c r="C1031" s="19">
        <f>41156+(3*365)</f>
        <v>42251</v>
      </c>
      <c r="D1031" s="18" t="s">
        <v>77</v>
      </c>
      <c r="E1031" s="18" t="s">
        <v>61</v>
      </c>
      <c r="F1031" s="21">
        <v>2196</v>
      </c>
    </row>
    <row r="1032" spans="2:6" x14ac:dyDescent="0.25">
      <c r="B1032" s="18" t="s">
        <v>25</v>
      </c>
      <c r="C1032" s="19">
        <f>40869+(3*365)</f>
        <v>41964</v>
      </c>
      <c r="D1032" s="18" t="s">
        <v>78</v>
      </c>
      <c r="E1032" s="18" t="s">
        <v>66</v>
      </c>
      <c r="F1032" s="21">
        <v>2156</v>
      </c>
    </row>
    <row r="1033" spans="2:6" x14ac:dyDescent="0.25">
      <c r="B1033" s="18" t="s">
        <v>18</v>
      </c>
      <c r="C1033" s="19">
        <f>41102+(3*365)</f>
        <v>42197</v>
      </c>
      <c r="D1033" s="18" t="s">
        <v>71</v>
      </c>
      <c r="E1033" s="18" t="s">
        <v>69</v>
      </c>
      <c r="F1033" s="21">
        <v>2850</v>
      </c>
    </row>
    <row r="1034" spans="2:6" x14ac:dyDescent="0.25">
      <c r="B1034" s="18" t="s">
        <v>8</v>
      </c>
      <c r="C1034" s="19">
        <f>39849+(3*365)</f>
        <v>40944</v>
      </c>
      <c r="D1034" s="18" t="s">
        <v>77</v>
      </c>
      <c r="E1034" s="18" t="s">
        <v>61</v>
      </c>
      <c r="F1034" s="21">
        <v>366</v>
      </c>
    </row>
    <row r="1035" spans="2:6" x14ac:dyDescent="0.25">
      <c r="B1035" s="18" t="s">
        <v>25</v>
      </c>
      <c r="C1035" s="19">
        <f>40028+(3*365)</f>
        <v>41123</v>
      </c>
      <c r="D1035" s="18" t="s">
        <v>79</v>
      </c>
      <c r="E1035" s="18" t="s">
        <v>75</v>
      </c>
      <c r="F1035" s="21">
        <v>150</v>
      </c>
    </row>
    <row r="1036" spans="2:6" x14ac:dyDescent="0.25">
      <c r="B1036" s="18" t="s">
        <v>21</v>
      </c>
      <c r="C1036" s="19">
        <f>39914+(3*365)</f>
        <v>41009</v>
      </c>
      <c r="D1036" s="18" t="s">
        <v>58</v>
      </c>
      <c r="E1036" s="18" t="s">
        <v>66</v>
      </c>
      <c r="F1036" s="21">
        <v>92</v>
      </c>
    </row>
    <row r="1037" spans="2:6" x14ac:dyDescent="0.25">
      <c r="B1037" s="18" t="s">
        <v>21</v>
      </c>
      <c r="C1037" s="19">
        <f>40925+(3*365)</f>
        <v>42020</v>
      </c>
      <c r="D1037" s="18" t="s">
        <v>58</v>
      </c>
      <c r="E1037" s="18" t="s">
        <v>59</v>
      </c>
      <c r="F1037" s="21">
        <v>560</v>
      </c>
    </row>
    <row r="1038" spans="2:6" x14ac:dyDescent="0.25">
      <c r="B1038" s="18" t="s">
        <v>31</v>
      </c>
      <c r="C1038" s="19">
        <f>40860+(3*365)</f>
        <v>41955</v>
      </c>
      <c r="D1038" s="18" t="s">
        <v>76</v>
      </c>
      <c r="E1038" s="18" t="s">
        <v>72</v>
      </c>
      <c r="F1038" s="21">
        <v>1848</v>
      </c>
    </row>
    <row r="1039" spans="2:6" x14ac:dyDescent="0.25">
      <c r="B1039" s="18" t="s">
        <v>25</v>
      </c>
      <c r="C1039" s="19">
        <f>40947+(3*365)</f>
        <v>42042</v>
      </c>
      <c r="D1039" s="18" t="s">
        <v>79</v>
      </c>
      <c r="E1039" s="18" t="s">
        <v>75</v>
      </c>
      <c r="F1039" s="21">
        <v>88</v>
      </c>
    </row>
    <row r="1040" spans="2:6" x14ac:dyDescent="0.25">
      <c r="B1040" s="18" t="s">
        <v>10</v>
      </c>
      <c r="C1040" s="19">
        <f>41020+(3*365)</f>
        <v>42115</v>
      </c>
      <c r="D1040" s="18" t="s">
        <v>67</v>
      </c>
      <c r="E1040" s="18" t="s">
        <v>59</v>
      </c>
      <c r="F1040" s="21">
        <v>744</v>
      </c>
    </row>
    <row r="1041" spans="2:6" x14ac:dyDescent="0.25">
      <c r="B1041" s="18" t="s">
        <v>8</v>
      </c>
      <c r="C1041" s="19">
        <f>40341+(3*365)</f>
        <v>41436</v>
      </c>
      <c r="D1041" s="18" t="s">
        <v>77</v>
      </c>
      <c r="E1041" s="18" t="s">
        <v>66</v>
      </c>
      <c r="F1041" s="21">
        <v>152</v>
      </c>
    </row>
    <row r="1042" spans="2:6" x14ac:dyDescent="0.25">
      <c r="B1042" s="18" t="s">
        <v>8</v>
      </c>
      <c r="C1042" s="19">
        <f>40117+(3*365)</f>
        <v>41212</v>
      </c>
      <c r="D1042" s="18" t="s">
        <v>77</v>
      </c>
      <c r="E1042" s="18" t="s">
        <v>64</v>
      </c>
      <c r="F1042" s="21">
        <v>6876</v>
      </c>
    </row>
    <row r="1043" spans="2:6" x14ac:dyDescent="0.25">
      <c r="B1043" s="18" t="s">
        <v>18</v>
      </c>
      <c r="C1043" s="19">
        <f>40238+(3*365)</f>
        <v>41333</v>
      </c>
      <c r="D1043" s="18" t="s">
        <v>68</v>
      </c>
      <c r="E1043" s="18" t="s">
        <v>75</v>
      </c>
      <c r="F1043" s="21">
        <v>87</v>
      </c>
    </row>
    <row r="1044" spans="2:6" x14ac:dyDescent="0.25">
      <c r="B1044" s="18" t="s">
        <v>25</v>
      </c>
      <c r="C1044" s="19">
        <f>41193+(3*365)</f>
        <v>42288</v>
      </c>
      <c r="D1044" s="18" t="s">
        <v>78</v>
      </c>
      <c r="E1044" s="18" t="s">
        <v>69</v>
      </c>
      <c r="F1044" s="21">
        <v>540</v>
      </c>
    </row>
    <row r="1045" spans="2:6" x14ac:dyDescent="0.25">
      <c r="B1045" s="18" t="s">
        <v>25</v>
      </c>
      <c r="C1045" s="19">
        <f>39828+(3*365)</f>
        <v>40923</v>
      </c>
      <c r="D1045" s="18" t="s">
        <v>78</v>
      </c>
      <c r="E1045" s="18" t="s">
        <v>64</v>
      </c>
      <c r="F1045" s="21">
        <v>6224</v>
      </c>
    </row>
    <row r="1046" spans="2:6" x14ac:dyDescent="0.25">
      <c r="B1046" s="18" t="s">
        <v>11</v>
      </c>
      <c r="C1046" s="19">
        <f>40636+(3*365)</f>
        <v>41731</v>
      </c>
      <c r="D1046" s="18" t="s">
        <v>60</v>
      </c>
      <c r="E1046" s="18" t="s">
        <v>59</v>
      </c>
      <c r="F1046" s="21">
        <v>465</v>
      </c>
    </row>
    <row r="1047" spans="2:6" x14ac:dyDescent="0.25">
      <c r="B1047" s="18" t="s">
        <v>11</v>
      </c>
      <c r="C1047" s="19">
        <f>40244+(3*365)</f>
        <v>41339</v>
      </c>
      <c r="D1047" s="18" t="s">
        <v>74</v>
      </c>
      <c r="E1047" s="18" t="s">
        <v>69</v>
      </c>
      <c r="F1047" s="21">
        <v>840</v>
      </c>
    </row>
    <row r="1048" spans="2:6" x14ac:dyDescent="0.25">
      <c r="B1048" s="18" t="s">
        <v>8</v>
      </c>
      <c r="C1048" s="19">
        <f>40956+(3*365)</f>
        <v>42051</v>
      </c>
      <c r="D1048" s="18" t="s">
        <v>77</v>
      </c>
      <c r="E1048" s="18" t="s">
        <v>61</v>
      </c>
      <c r="F1048" s="21">
        <v>1376</v>
      </c>
    </row>
    <row r="1049" spans="2:6" x14ac:dyDescent="0.25">
      <c r="B1049" s="18" t="s">
        <v>11</v>
      </c>
      <c r="C1049" s="19">
        <f>41104+(3*365)</f>
        <v>42199</v>
      </c>
      <c r="D1049" s="18" t="s">
        <v>60</v>
      </c>
      <c r="E1049" s="18" t="s">
        <v>75</v>
      </c>
      <c r="F1049" s="21">
        <v>1296</v>
      </c>
    </row>
    <row r="1050" spans="2:6" x14ac:dyDescent="0.25">
      <c r="B1050" s="18" t="s">
        <v>31</v>
      </c>
      <c r="C1050" s="19">
        <f>40323+(3*365)</f>
        <v>41418</v>
      </c>
      <c r="D1050" s="18" t="s">
        <v>70</v>
      </c>
      <c r="E1050" s="18" t="s">
        <v>69</v>
      </c>
      <c r="F1050" s="21">
        <v>1515</v>
      </c>
    </row>
    <row r="1051" spans="2:6" x14ac:dyDescent="0.25">
      <c r="B1051" s="18" t="s">
        <v>10</v>
      </c>
      <c r="C1051" s="19">
        <f>40796+(3*365)</f>
        <v>41891</v>
      </c>
      <c r="D1051" s="18" t="s">
        <v>67</v>
      </c>
      <c r="E1051" s="18" t="s">
        <v>63</v>
      </c>
      <c r="F1051" s="21">
        <v>350</v>
      </c>
    </row>
    <row r="1052" spans="2:6" x14ac:dyDescent="0.25">
      <c r="B1052" s="18" t="s">
        <v>25</v>
      </c>
      <c r="C1052" s="19">
        <f>40723+(3*365)</f>
        <v>41818</v>
      </c>
      <c r="D1052" s="18" t="s">
        <v>78</v>
      </c>
      <c r="E1052" s="18" t="s">
        <v>72</v>
      </c>
      <c r="F1052" s="21">
        <v>1032</v>
      </c>
    </row>
    <row r="1053" spans="2:6" x14ac:dyDescent="0.25">
      <c r="B1053" s="18" t="s">
        <v>11</v>
      </c>
      <c r="C1053" s="19">
        <f>40358+(3*365)</f>
        <v>41453</v>
      </c>
      <c r="D1053" s="18" t="s">
        <v>74</v>
      </c>
      <c r="E1053" s="18" t="s">
        <v>66</v>
      </c>
      <c r="F1053" s="21">
        <v>189</v>
      </c>
    </row>
    <row r="1054" spans="2:6" x14ac:dyDescent="0.25">
      <c r="B1054" s="18" t="s">
        <v>10</v>
      </c>
      <c r="C1054" s="19">
        <f>40594+(3*365)</f>
        <v>41689</v>
      </c>
      <c r="D1054" s="18" t="s">
        <v>67</v>
      </c>
      <c r="E1054" s="18" t="s">
        <v>69</v>
      </c>
      <c r="F1054" s="21">
        <v>322</v>
      </c>
    </row>
    <row r="1055" spans="2:6" x14ac:dyDescent="0.25">
      <c r="B1055" s="18" t="s">
        <v>21</v>
      </c>
      <c r="C1055" s="19">
        <f>40130+(3*365)</f>
        <v>41225</v>
      </c>
      <c r="D1055" s="18" t="s">
        <v>58</v>
      </c>
      <c r="E1055" s="18" t="s">
        <v>66</v>
      </c>
      <c r="F1055" s="21">
        <v>177</v>
      </c>
    </row>
    <row r="1056" spans="2:6" x14ac:dyDescent="0.25">
      <c r="B1056" s="18" t="s">
        <v>18</v>
      </c>
      <c r="C1056" s="19">
        <f>40382+(3*365)</f>
        <v>41477</v>
      </c>
      <c r="D1056" s="18" t="s">
        <v>71</v>
      </c>
      <c r="E1056" s="18" t="s">
        <v>69</v>
      </c>
      <c r="F1056" s="21">
        <v>1512</v>
      </c>
    </row>
    <row r="1057" spans="2:6" x14ac:dyDescent="0.25">
      <c r="B1057" s="18" t="s">
        <v>21</v>
      </c>
      <c r="C1057" s="19">
        <f>40372+(3*365)</f>
        <v>41467</v>
      </c>
      <c r="D1057" s="18" t="s">
        <v>58</v>
      </c>
      <c r="E1057" s="18" t="s">
        <v>64</v>
      </c>
      <c r="F1057" s="21">
        <v>780</v>
      </c>
    </row>
    <row r="1058" spans="2:6" x14ac:dyDescent="0.25">
      <c r="B1058" s="18" t="s">
        <v>9</v>
      </c>
      <c r="C1058" s="19">
        <f>40271+(3*365)</f>
        <v>41366</v>
      </c>
      <c r="D1058" s="18" t="s">
        <v>62</v>
      </c>
      <c r="E1058" s="18" t="s">
        <v>63</v>
      </c>
      <c r="F1058" s="21">
        <v>200</v>
      </c>
    </row>
    <row r="1059" spans="2:6" x14ac:dyDescent="0.25">
      <c r="B1059" s="18" t="s">
        <v>18</v>
      </c>
      <c r="C1059" s="19">
        <f>41063+(3*365)</f>
        <v>42158</v>
      </c>
      <c r="D1059" s="18" t="s">
        <v>68</v>
      </c>
      <c r="E1059" s="18" t="s">
        <v>61</v>
      </c>
      <c r="F1059" s="21">
        <v>936</v>
      </c>
    </row>
    <row r="1060" spans="2:6" x14ac:dyDescent="0.25">
      <c r="B1060" s="18" t="s">
        <v>9</v>
      </c>
      <c r="C1060" s="19">
        <f>41028+(3*365)</f>
        <v>42123</v>
      </c>
      <c r="D1060" s="18" t="s">
        <v>62</v>
      </c>
      <c r="E1060" s="18" t="s">
        <v>72</v>
      </c>
      <c r="F1060" s="21">
        <v>518</v>
      </c>
    </row>
    <row r="1061" spans="2:6" x14ac:dyDescent="0.25">
      <c r="B1061" s="18" t="s">
        <v>11</v>
      </c>
      <c r="C1061" s="19">
        <f>41091+(3*365)</f>
        <v>42186</v>
      </c>
      <c r="D1061" s="18" t="s">
        <v>60</v>
      </c>
      <c r="E1061" s="18" t="s">
        <v>66</v>
      </c>
      <c r="F1061" s="21">
        <v>2628</v>
      </c>
    </row>
    <row r="1062" spans="2:6" x14ac:dyDescent="0.25">
      <c r="B1062" s="18" t="s">
        <v>31</v>
      </c>
      <c r="C1062" s="19">
        <f>41174+(3*365)</f>
        <v>42269</v>
      </c>
      <c r="D1062" s="18" t="s">
        <v>76</v>
      </c>
      <c r="E1062" s="18" t="s">
        <v>64</v>
      </c>
      <c r="F1062" s="21">
        <v>11403</v>
      </c>
    </row>
    <row r="1063" spans="2:6" x14ac:dyDescent="0.25">
      <c r="B1063" s="18" t="s">
        <v>11</v>
      </c>
      <c r="C1063" s="19">
        <f>40854+(3*365)</f>
        <v>41949</v>
      </c>
      <c r="D1063" s="18" t="s">
        <v>60</v>
      </c>
      <c r="E1063" s="18" t="s">
        <v>72</v>
      </c>
      <c r="F1063" s="21">
        <v>1950</v>
      </c>
    </row>
    <row r="1064" spans="2:6" x14ac:dyDescent="0.25">
      <c r="B1064" s="18" t="s">
        <v>18</v>
      </c>
      <c r="C1064" s="19">
        <f>41213+(3*365)</f>
        <v>42308</v>
      </c>
      <c r="D1064" s="18" t="s">
        <v>68</v>
      </c>
      <c r="E1064" s="18" t="s">
        <v>59</v>
      </c>
      <c r="F1064" s="21">
        <v>102</v>
      </c>
    </row>
    <row r="1065" spans="2:6" x14ac:dyDescent="0.25">
      <c r="B1065" s="18" t="s">
        <v>11</v>
      </c>
      <c r="C1065" s="19">
        <f>40976+(3*365)</f>
        <v>42071</v>
      </c>
      <c r="D1065" s="18" t="s">
        <v>60</v>
      </c>
      <c r="E1065" s="18" t="s">
        <v>75</v>
      </c>
      <c r="F1065" s="21">
        <v>288</v>
      </c>
    </row>
    <row r="1066" spans="2:6" x14ac:dyDescent="0.25">
      <c r="B1066" s="18" t="s">
        <v>9</v>
      </c>
      <c r="C1066" s="19">
        <f>40655+(3*365)</f>
        <v>41750</v>
      </c>
      <c r="D1066" s="18" t="s">
        <v>80</v>
      </c>
      <c r="E1066" s="18" t="s">
        <v>72</v>
      </c>
      <c r="F1066" s="21">
        <v>3855</v>
      </c>
    </row>
    <row r="1067" spans="2:6" x14ac:dyDescent="0.25">
      <c r="B1067" s="18" t="s">
        <v>25</v>
      </c>
      <c r="C1067" s="19">
        <f>40469+(3*365)</f>
        <v>41564</v>
      </c>
      <c r="D1067" s="18" t="s">
        <v>78</v>
      </c>
      <c r="E1067" s="18" t="s">
        <v>75</v>
      </c>
      <c r="F1067" s="21">
        <v>570</v>
      </c>
    </row>
    <row r="1068" spans="2:6" x14ac:dyDescent="0.25">
      <c r="B1068" s="18" t="s">
        <v>8</v>
      </c>
      <c r="C1068" s="19">
        <f>40418+(3*365)</f>
        <v>41513</v>
      </c>
      <c r="D1068" s="18" t="s">
        <v>81</v>
      </c>
      <c r="E1068" s="18" t="s">
        <v>59</v>
      </c>
      <c r="F1068" s="21">
        <v>240</v>
      </c>
    </row>
    <row r="1069" spans="2:6" x14ac:dyDescent="0.25">
      <c r="B1069" s="18" t="s">
        <v>18</v>
      </c>
      <c r="C1069" s="19">
        <f>40009+(3*365)</f>
        <v>41104</v>
      </c>
      <c r="D1069" s="18" t="s">
        <v>71</v>
      </c>
      <c r="E1069" s="18" t="s">
        <v>69</v>
      </c>
      <c r="F1069" s="21">
        <v>174</v>
      </c>
    </row>
    <row r="1070" spans="2:6" x14ac:dyDescent="0.25">
      <c r="B1070" s="18" t="s">
        <v>9</v>
      </c>
      <c r="C1070" s="19">
        <f>40395+(3*365)</f>
        <v>41490</v>
      </c>
      <c r="D1070" s="18" t="s">
        <v>80</v>
      </c>
      <c r="E1070" s="18" t="s">
        <v>64</v>
      </c>
      <c r="F1070" s="21">
        <v>1824</v>
      </c>
    </row>
    <row r="1071" spans="2:6" x14ac:dyDescent="0.25">
      <c r="B1071" s="18" t="s">
        <v>21</v>
      </c>
      <c r="C1071" s="19">
        <f>40453+(3*365)</f>
        <v>41548</v>
      </c>
      <c r="D1071" s="18" t="s">
        <v>58</v>
      </c>
      <c r="E1071" s="18" t="s">
        <v>59</v>
      </c>
      <c r="F1071" s="21">
        <v>124</v>
      </c>
    </row>
    <row r="1072" spans="2:6" x14ac:dyDescent="0.25">
      <c r="B1072" s="18" t="s">
        <v>9</v>
      </c>
      <c r="C1072" s="19">
        <f>41088+(3*365)</f>
        <v>42183</v>
      </c>
      <c r="D1072" s="18" t="s">
        <v>80</v>
      </c>
      <c r="E1072" s="18" t="s">
        <v>61</v>
      </c>
      <c r="F1072" s="21">
        <v>675</v>
      </c>
    </row>
    <row r="1073" spans="2:6" x14ac:dyDescent="0.25">
      <c r="B1073" s="18" t="s">
        <v>18</v>
      </c>
      <c r="C1073" s="19">
        <f>41034+(3*365)</f>
        <v>42129</v>
      </c>
      <c r="D1073" s="18" t="s">
        <v>68</v>
      </c>
      <c r="E1073" s="18" t="s">
        <v>66</v>
      </c>
      <c r="F1073" s="21">
        <v>300</v>
      </c>
    </row>
    <row r="1074" spans="2:6" x14ac:dyDescent="0.25">
      <c r="B1074" s="18" t="s">
        <v>10</v>
      </c>
      <c r="C1074" s="19">
        <f>40314+(3*365)</f>
        <v>41409</v>
      </c>
      <c r="D1074" s="18" t="s">
        <v>67</v>
      </c>
      <c r="E1074" s="18" t="s">
        <v>63</v>
      </c>
      <c r="F1074" s="21">
        <v>888</v>
      </c>
    </row>
    <row r="1075" spans="2:6" x14ac:dyDescent="0.25">
      <c r="B1075" s="18" t="s">
        <v>21</v>
      </c>
      <c r="C1075" s="19">
        <f>41165+(3*365)</f>
        <v>42260</v>
      </c>
      <c r="D1075" s="18" t="s">
        <v>73</v>
      </c>
      <c r="E1075" s="18" t="s">
        <v>69</v>
      </c>
      <c r="F1075" s="21">
        <v>1368</v>
      </c>
    </row>
    <row r="1076" spans="2:6" x14ac:dyDescent="0.25">
      <c r="B1076" s="18" t="s">
        <v>11</v>
      </c>
      <c r="C1076" s="19">
        <f>40719+(3*365)</f>
        <v>41814</v>
      </c>
      <c r="D1076" s="18" t="s">
        <v>74</v>
      </c>
      <c r="E1076" s="18" t="s">
        <v>66</v>
      </c>
      <c r="F1076" s="21">
        <v>534</v>
      </c>
    </row>
    <row r="1077" spans="2:6" x14ac:dyDescent="0.25">
      <c r="B1077" s="18" t="s">
        <v>18</v>
      </c>
      <c r="C1077" s="19">
        <f>40250+(3*365)</f>
        <v>41345</v>
      </c>
      <c r="D1077" s="18" t="s">
        <v>68</v>
      </c>
      <c r="E1077" s="18" t="s">
        <v>66</v>
      </c>
      <c r="F1077" s="21">
        <v>240</v>
      </c>
    </row>
    <row r="1078" spans="2:6" x14ac:dyDescent="0.25">
      <c r="B1078" s="18" t="s">
        <v>25</v>
      </c>
      <c r="C1078" s="19">
        <f>40283+(3*365)</f>
        <v>41378</v>
      </c>
      <c r="D1078" s="18" t="s">
        <v>79</v>
      </c>
      <c r="E1078" s="18" t="s">
        <v>75</v>
      </c>
      <c r="F1078" s="21">
        <v>672</v>
      </c>
    </row>
    <row r="1079" spans="2:6" x14ac:dyDescent="0.25">
      <c r="B1079" s="18" t="s">
        <v>9</v>
      </c>
      <c r="C1079" s="19">
        <f>40007+(3*365)</f>
        <v>41102</v>
      </c>
      <c r="D1079" s="18" t="s">
        <v>80</v>
      </c>
      <c r="E1079" s="18" t="s">
        <v>64</v>
      </c>
      <c r="F1079" s="21">
        <v>7390</v>
      </c>
    </row>
    <row r="1080" spans="2:6" x14ac:dyDescent="0.25">
      <c r="B1080" s="18" t="s">
        <v>11</v>
      </c>
      <c r="C1080" s="19">
        <f>39827+(3*365)</f>
        <v>40922</v>
      </c>
      <c r="D1080" s="18" t="s">
        <v>60</v>
      </c>
      <c r="E1080" s="18" t="s">
        <v>69</v>
      </c>
      <c r="F1080" s="21">
        <v>1170</v>
      </c>
    </row>
    <row r="1081" spans="2:6" x14ac:dyDescent="0.25">
      <c r="B1081" s="18" t="s">
        <v>11</v>
      </c>
      <c r="C1081" s="19">
        <f>40075+(3*365)</f>
        <v>41170</v>
      </c>
      <c r="D1081" s="18" t="s">
        <v>74</v>
      </c>
      <c r="E1081" s="18" t="s">
        <v>63</v>
      </c>
      <c r="F1081" s="21">
        <v>540</v>
      </c>
    </row>
    <row r="1082" spans="2:6" x14ac:dyDescent="0.25">
      <c r="B1082" s="18" t="s">
        <v>8</v>
      </c>
      <c r="C1082" s="19">
        <f>41195+(3*365)</f>
        <v>42290</v>
      </c>
      <c r="D1082" s="18" t="s">
        <v>77</v>
      </c>
      <c r="E1082" s="18" t="s">
        <v>69</v>
      </c>
      <c r="F1082" s="21">
        <v>648</v>
      </c>
    </row>
    <row r="1083" spans="2:6" x14ac:dyDescent="0.25">
      <c r="B1083" s="18" t="s">
        <v>21</v>
      </c>
      <c r="C1083" s="19">
        <f>40808+(3*365)</f>
        <v>41903</v>
      </c>
      <c r="D1083" s="18" t="s">
        <v>73</v>
      </c>
      <c r="E1083" s="18" t="s">
        <v>66</v>
      </c>
      <c r="F1083" s="21">
        <v>258</v>
      </c>
    </row>
    <row r="1084" spans="2:6" x14ac:dyDescent="0.25">
      <c r="B1084" s="18" t="s">
        <v>10</v>
      </c>
      <c r="C1084" s="19">
        <f>39930+(3*365)</f>
        <v>41025</v>
      </c>
      <c r="D1084" s="18" t="s">
        <v>67</v>
      </c>
      <c r="E1084" s="18" t="s">
        <v>69</v>
      </c>
      <c r="F1084" s="21">
        <v>428</v>
      </c>
    </row>
    <row r="1085" spans="2:6" x14ac:dyDescent="0.25">
      <c r="B1085" s="18" t="s">
        <v>9</v>
      </c>
      <c r="C1085" s="19">
        <f>41248+(3*365)</f>
        <v>42343</v>
      </c>
      <c r="D1085" s="18" t="s">
        <v>80</v>
      </c>
      <c r="E1085" s="18" t="s">
        <v>75</v>
      </c>
      <c r="F1085" s="21">
        <v>21</v>
      </c>
    </row>
    <row r="1086" spans="2:6" x14ac:dyDescent="0.25">
      <c r="B1086" s="18" t="s">
        <v>9</v>
      </c>
      <c r="C1086" s="19">
        <f>39907+(3*365)</f>
        <v>41002</v>
      </c>
      <c r="D1086" s="18" t="s">
        <v>80</v>
      </c>
      <c r="E1086" s="18" t="s">
        <v>66</v>
      </c>
      <c r="F1086" s="21">
        <v>784</v>
      </c>
    </row>
    <row r="1087" spans="2:6" x14ac:dyDescent="0.25">
      <c r="B1087" s="18" t="s">
        <v>21</v>
      </c>
      <c r="C1087" s="19">
        <f>41099+(3*365)</f>
        <v>42194</v>
      </c>
      <c r="D1087" s="18" t="s">
        <v>58</v>
      </c>
      <c r="E1087" s="18" t="s">
        <v>63</v>
      </c>
      <c r="F1087" s="21">
        <v>496</v>
      </c>
    </row>
    <row r="1088" spans="2:6" x14ac:dyDescent="0.25">
      <c r="B1088" s="18" t="s">
        <v>31</v>
      </c>
      <c r="C1088" s="19">
        <f>39936+(3*365)</f>
        <v>41031</v>
      </c>
      <c r="D1088" s="18" t="s">
        <v>70</v>
      </c>
      <c r="E1088" s="18" t="s">
        <v>75</v>
      </c>
      <c r="F1088" s="21">
        <v>312</v>
      </c>
    </row>
    <row r="1089" spans="2:6" x14ac:dyDescent="0.25">
      <c r="B1089" s="18" t="s">
        <v>8</v>
      </c>
      <c r="C1089" s="19">
        <f>40418+(3*365)</f>
        <v>41513</v>
      </c>
      <c r="D1089" s="18" t="s">
        <v>77</v>
      </c>
      <c r="E1089" s="18" t="s">
        <v>61</v>
      </c>
      <c r="F1089" s="21">
        <v>1464</v>
      </c>
    </row>
    <row r="1090" spans="2:6" x14ac:dyDescent="0.25">
      <c r="B1090" s="18" t="s">
        <v>8</v>
      </c>
      <c r="C1090" s="19">
        <f>40445+(3*365)</f>
        <v>41540</v>
      </c>
      <c r="D1090" s="18" t="s">
        <v>81</v>
      </c>
      <c r="E1090" s="18" t="s">
        <v>69</v>
      </c>
      <c r="F1090" s="21">
        <v>1104</v>
      </c>
    </row>
    <row r="1091" spans="2:6" x14ac:dyDescent="0.25">
      <c r="B1091" s="18" t="s">
        <v>10</v>
      </c>
      <c r="C1091" s="19">
        <f>40992+(3*365)</f>
        <v>42087</v>
      </c>
      <c r="D1091" s="18" t="s">
        <v>65</v>
      </c>
      <c r="E1091" s="18" t="s">
        <v>63</v>
      </c>
      <c r="F1091" s="21">
        <v>648</v>
      </c>
    </row>
    <row r="1092" spans="2:6" x14ac:dyDescent="0.25">
      <c r="B1092" s="18" t="s">
        <v>21</v>
      </c>
      <c r="C1092" s="19">
        <f>40731+(3*365)</f>
        <v>41826</v>
      </c>
      <c r="D1092" s="18" t="s">
        <v>58</v>
      </c>
      <c r="E1092" s="18" t="s">
        <v>66</v>
      </c>
      <c r="F1092" s="21">
        <v>456</v>
      </c>
    </row>
    <row r="1093" spans="2:6" x14ac:dyDescent="0.25">
      <c r="B1093" s="18" t="s">
        <v>11</v>
      </c>
      <c r="C1093" s="19">
        <f>40788+(3*365)</f>
        <v>41883</v>
      </c>
      <c r="D1093" s="18" t="s">
        <v>74</v>
      </c>
      <c r="E1093" s="18" t="s">
        <v>69</v>
      </c>
      <c r="F1093" s="21">
        <v>1194</v>
      </c>
    </row>
    <row r="1094" spans="2:6" x14ac:dyDescent="0.25">
      <c r="B1094" s="18" t="s">
        <v>21</v>
      </c>
      <c r="C1094" s="19">
        <f>40353+(3*365)</f>
        <v>41448</v>
      </c>
      <c r="D1094" s="18" t="s">
        <v>58</v>
      </c>
      <c r="E1094" s="18" t="s">
        <v>59</v>
      </c>
      <c r="F1094" s="21">
        <v>432</v>
      </c>
    </row>
    <row r="1095" spans="2:6" x14ac:dyDescent="0.25">
      <c r="B1095" s="18" t="s">
        <v>11</v>
      </c>
      <c r="C1095" s="19">
        <f>40927+(3*365)</f>
        <v>42022</v>
      </c>
      <c r="D1095" s="18" t="s">
        <v>74</v>
      </c>
      <c r="E1095" s="18" t="s">
        <v>59</v>
      </c>
      <c r="F1095" s="21">
        <v>480</v>
      </c>
    </row>
    <row r="1096" spans="2:6" x14ac:dyDescent="0.25">
      <c r="B1096" s="18" t="s">
        <v>10</v>
      </c>
      <c r="C1096" s="19">
        <f>40500+(3*365)</f>
        <v>41595</v>
      </c>
      <c r="D1096" s="18" t="s">
        <v>65</v>
      </c>
      <c r="E1096" s="18" t="s">
        <v>69</v>
      </c>
      <c r="F1096" s="21">
        <v>414</v>
      </c>
    </row>
    <row r="1097" spans="2:6" x14ac:dyDescent="0.25">
      <c r="B1097" s="18" t="s">
        <v>31</v>
      </c>
      <c r="C1097" s="19">
        <f>40814+(3*365)</f>
        <v>41909</v>
      </c>
      <c r="D1097" s="18" t="s">
        <v>70</v>
      </c>
      <c r="E1097" s="18" t="s">
        <v>61</v>
      </c>
      <c r="F1097" s="21">
        <v>1404</v>
      </c>
    </row>
    <row r="1098" spans="2:6" x14ac:dyDescent="0.25">
      <c r="B1098" s="18" t="s">
        <v>31</v>
      </c>
      <c r="C1098" s="19">
        <f>40751+(3*365)</f>
        <v>41846</v>
      </c>
      <c r="D1098" s="18" t="s">
        <v>70</v>
      </c>
      <c r="E1098" s="18" t="s">
        <v>66</v>
      </c>
      <c r="F1098" s="21">
        <v>810</v>
      </c>
    </row>
    <row r="1099" spans="2:6" x14ac:dyDescent="0.25">
      <c r="B1099" s="18" t="s">
        <v>10</v>
      </c>
      <c r="C1099" s="19">
        <f>41086+(3*365)</f>
        <v>42181</v>
      </c>
      <c r="D1099" s="18" t="s">
        <v>65</v>
      </c>
      <c r="E1099" s="18" t="s">
        <v>72</v>
      </c>
      <c r="F1099" s="21">
        <v>522</v>
      </c>
    </row>
    <row r="1100" spans="2:6" x14ac:dyDescent="0.25">
      <c r="B1100" s="18" t="s">
        <v>21</v>
      </c>
      <c r="C1100" s="19">
        <f>39890+(3*365)</f>
        <v>40985</v>
      </c>
      <c r="D1100" s="18" t="s">
        <v>58</v>
      </c>
      <c r="E1100" s="18" t="s">
        <v>61</v>
      </c>
      <c r="F1100" s="21">
        <v>200</v>
      </c>
    </row>
    <row r="1101" spans="2:6" x14ac:dyDescent="0.25">
      <c r="B1101" s="18" t="s">
        <v>25</v>
      </c>
      <c r="C1101" s="19">
        <f>40308+(3*365)</f>
        <v>41403</v>
      </c>
      <c r="D1101" s="18" t="s">
        <v>79</v>
      </c>
      <c r="E1101" s="18" t="s">
        <v>63</v>
      </c>
      <c r="F1101" s="21">
        <v>93</v>
      </c>
    </row>
    <row r="1102" spans="2:6" x14ac:dyDescent="0.25">
      <c r="B1102" s="18" t="s">
        <v>8</v>
      </c>
      <c r="C1102" s="19">
        <f>40881+(3*365)</f>
        <v>41976</v>
      </c>
      <c r="D1102" s="18" t="s">
        <v>77</v>
      </c>
      <c r="E1102" s="18" t="s">
        <v>63</v>
      </c>
      <c r="F1102" s="21">
        <v>1504</v>
      </c>
    </row>
    <row r="1103" spans="2:6" x14ac:dyDescent="0.25">
      <c r="B1103" s="18" t="s">
        <v>8</v>
      </c>
      <c r="C1103" s="19">
        <f>40666+(3*365)</f>
        <v>41761</v>
      </c>
      <c r="D1103" s="18" t="s">
        <v>77</v>
      </c>
      <c r="E1103" s="18" t="s">
        <v>61</v>
      </c>
      <c r="F1103" s="21">
        <v>264</v>
      </c>
    </row>
    <row r="1104" spans="2:6" x14ac:dyDescent="0.25">
      <c r="B1104" s="18" t="s">
        <v>18</v>
      </c>
      <c r="C1104" s="19">
        <f>40707+(3*365)</f>
        <v>41802</v>
      </c>
      <c r="D1104" s="18" t="s">
        <v>68</v>
      </c>
      <c r="E1104" s="18" t="s">
        <v>66</v>
      </c>
      <c r="F1104" s="21">
        <v>1968</v>
      </c>
    </row>
    <row r="1105" spans="2:6" x14ac:dyDescent="0.25">
      <c r="B1105" s="18" t="s">
        <v>21</v>
      </c>
      <c r="C1105" s="19">
        <f>40417+(3*365)</f>
        <v>41512</v>
      </c>
      <c r="D1105" s="18" t="s">
        <v>73</v>
      </c>
      <c r="E1105" s="18" t="s">
        <v>63</v>
      </c>
      <c r="F1105" s="21">
        <v>252</v>
      </c>
    </row>
    <row r="1106" spans="2:6" x14ac:dyDescent="0.25">
      <c r="B1106" s="18" t="s">
        <v>8</v>
      </c>
      <c r="C1106" s="19">
        <f>40924+(3*365)</f>
        <v>42019</v>
      </c>
      <c r="D1106" s="18" t="s">
        <v>81</v>
      </c>
      <c r="E1106" s="18" t="s">
        <v>63</v>
      </c>
      <c r="F1106" s="21">
        <v>288</v>
      </c>
    </row>
    <row r="1107" spans="2:6" x14ac:dyDescent="0.25">
      <c r="B1107" s="18" t="s">
        <v>11</v>
      </c>
      <c r="C1107" s="19">
        <f>40376+(3*365)</f>
        <v>41471</v>
      </c>
      <c r="D1107" s="18" t="s">
        <v>74</v>
      </c>
      <c r="E1107" s="18" t="s">
        <v>66</v>
      </c>
      <c r="F1107" s="21">
        <v>1188</v>
      </c>
    </row>
    <row r="1108" spans="2:6" x14ac:dyDescent="0.25">
      <c r="B1108" s="18" t="s">
        <v>18</v>
      </c>
      <c r="C1108" s="19">
        <f>40553+(3*365)</f>
        <v>41648</v>
      </c>
      <c r="D1108" s="18" t="s">
        <v>68</v>
      </c>
      <c r="E1108" s="18" t="s">
        <v>66</v>
      </c>
      <c r="F1108" s="21">
        <v>1848</v>
      </c>
    </row>
    <row r="1109" spans="2:6" x14ac:dyDescent="0.25">
      <c r="B1109" s="18" t="s">
        <v>11</v>
      </c>
      <c r="C1109" s="19">
        <f>41000+(3*365)</f>
        <v>42095</v>
      </c>
      <c r="D1109" s="18" t="s">
        <v>60</v>
      </c>
      <c r="E1109" s="18" t="s">
        <v>75</v>
      </c>
      <c r="F1109" s="21">
        <v>120</v>
      </c>
    </row>
    <row r="1110" spans="2:6" x14ac:dyDescent="0.25">
      <c r="B1110" s="18" t="s">
        <v>9</v>
      </c>
      <c r="C1110" s="19">
        <f>40400+(3*365)</f>
        <v>41495</v>
      </c>
      <c r="D1110" s="18" t="s">
        <v>62</v>
      </c>
      <c r="E1110" s="18" t="s">
        <v>72</v>
      </c>
      <c r="F1110" s="21">
        <v>3528</v>
      </c>
    </row>
    <row r="1111" spans="2:6" x14ac:dyDescent="0.25">
      <c r="B1111" s="18" t="s">
        <v>9</v>
      </c>
      <c r="C1111" s="19">
        <f>40341+(3*365)</f>
        <v>41436</v>
      </c>
      <c r="D1111" s="18" t="s">
        <v>80</v>
      </c>
      <c r="E1111" s="18" t="s">
        <v>69</v>
      </c>
      <c r="F1111" s="21">
        <v>752</v>
      </c>
    </row>
    <row r="1112" spans="2:6" x14ac:dyDescent="0.25">
      <c r="B1112" s="18" t="s">
        <v>8</v>
      </c>
      <c r="C1112" s="19">
        <f>40160+(3*365)</f>
        <v>41255</v>
      </c>
      <c r="D1112" s="18" t="s">
        <v>81</v>
      </c>
      <c r="E1112" s="18" t="s">
        <v>63</v>
      </c>
      <c r="F1112" s="21">
        <v>1536</v>
      </c>
    </row>
    <row r="1113" spans="2:6" x14ac:dyDescent="0.25">
      <c r="B1113" s="18" t="s">
        <v>21</v>
      </c>
      <c r="C1113" s="19">
        <f>40571+(3*365)</f>
        <v>41666</v>
      </c>
      <c r="D1113" s="18" t="s">
        <v>58</v>
      </c>
      <c r="E1113" s="18" t="s">
        <v>64</v>
      </c>
      <c r="F1113" s="21">
        <v>7284</v>
      </c>
    </row>
    <row r="1114" spans="2:6" x14ac:dyDescent="0.25">
      <c r="B1114" s="18" t="s">
        <v>11</v>
      </c>
      <c r="C1114" s="19">
        <f>39963+(3*365)</f>
        <v>41058</v>
      </c>
      <c r="D1114" s="18" t="s">
        <v>74</v>
      </c>
      <c r="E1114" s="18" t="s">
        <v>66</v>
      </c>
      <c r="F1114" s="21">
        <v>177</v>
      </c>
    </row>
    <row r="1115" spans="2:6" x14ac:dyDescent="0.25">
      <c r="B1115" s="18" t="s">
        <v>25</v>
      </c>
      <c r="C1115" s="19">
        <f>40328+(3*365)</f>
        <v>41423</v>
      </c>
      <c r="D1115" s="18" t="s">
        <v>79</v>
      </c>
      <c r="E1115" s="18" t="s">
        <v>75</v>
      </c>
      <c r="F1115" s="21">
        <v>231</v>
      </c>
    </row>
    <row r="1116" spans="2:6" x14ac:dyDescent="0.25">
      <c r="B1116" s="18" t="s">
        <v>9</v>
      </c>
      <c r="C1116" s="19">
        <f>40153+(3*365)</f>
        <v>41248</v>
      </c>
      <c r="D1116" s="18" t="s">
        <v>62</v>
      </c>
      <c r="E1116" s="18" t="s">
        <v>61</v>
      </c>
      <c r="F1116" s="21">
        <v>134</v>
      </c>
    </row>
    <row r="1117" spans="2:6" x14ac:dyDescent="0.25">
      <c r="B1117" s="18" t="s">
        <v>21</v>
      </c>
      <c r="C1117" s="19">
        <f>41143+(3*365)</f>
        <v>42238</v>
      </c>
      <c r="D1117" s="18" t="s">
        <v>58</v>
      </c>
      <c r="E1117" s="18" t="s">
        <v>72</v>
      </c>
      <c r="F1117" s="21">
        <v>3612</v>
      </c>
    </row>
    <row r="1118" spans="2:6" x14ac:dyDescent="0.25">
      <c r="B1118" s="18" t="s">
        <v>21</v>
      </c>
      <c r="C1118" s="19">
        <f>40058+(3*365)</f>
        <v>41153</v>
      </c>
      <c r="D1118" s="18" t="s">
        <v>73</v>
      </c>
      <c r="E1118" s="18" t="s">
        <v>64</v>
      </c>
      <c r="F1118" s="21">
        <v>2364</v>
      </c>
    </row>
    <row r="1119" spans="2:6" x14ac:dyDescent="0.25">
      <c r="B1119" s="18" t="s">
        <v>25</v>
      </c>
      <c r="C1119" s="19">
        <f>39897+(3*365)</f>
        <v>40992</v>
      </c>
      <c r="D1119" s="18" t="s">
        <v>79</v>
      </c>
      <c r="E1119" s="18" t="s">
        <v>75</v>
      </c>
      <c r="F1119" s="21">
        <v>42</v>
      </c>
    </row>
    <row r="1120" spans="2:6" x14ac:dyDescent="0.25">
      <c r="B1120" s="18" t="s">
        <v>18</v>
      </c>
      <c r="C1120" s="19">
        <f>40240+(3*365)</f>
        <v>41335</v>
      </c>
      <c r="D1120" s="18" t="s">
        <v>71</v>
      </c>
      <c r="E1120" s="18" t="s">
        <v>72</v>
      </c>
      <c r="F1120" s="21">
        <v>3330</v>
      </c>
    </row>
    <row r="1121" spans="2:6" x14ac:dyDescent="0.25">
      <c r="B1121" s="18" t="s">
        <v>10</v>
      </c>
      <c r="C1121" s="19">
        <f>40057+(3*365)</f>
        <v>41152</v>
      </c>
      <c r="D1121" s="18" t="s">
        <v>65</v>
      </c>
      <c r="E1121" s="18" t="s">
        <v>72</v>
      </c>
      <c r="F1121" s="21">
        <v>2844</v>
      </c>
    </row>
    <row r="1122" spans="2:6" x14ac:dyDescent="0.25">
      <c r="B1122" s="18" t="s">
        <v>31</v>
      </c>
      <c r="C1122" s="19">
        <f>40862+(3*365)</f>
        <v>41957</v>
      </c>
      <c r="D1122" s="18" t="s">
        <v>70</v>
      </c>
      <c r="E1122" s="18" t="s">
        <v>59</v>
      </c>
      <c r="F1122" s="21">
        <v>57</v>
      </c>
    </row>
    <row r="1123" spans="2:6" x14ac:dyDescent="0.25">
      <c r="B1123" s="18" t="s">
        <v>18</v>
      </c>
      <c r="C1123" s="19">
        <f>40111+(3*365)</f>
        <v>41206</v>
      </c>
      <c r="D1123" s="18" t="s">
        <v>71</v>
      </c>
      <c r="E1123" s="18" t="s">
        <v>59</v>
      </c>
      <c r="F1123" s="21">
        <v>528</v>
      </c>
    </row>
    <row r="1124" spans="2:6" x14ac:dyDescent="0.25">
      <c r="B1124" s="18" t="s">
        <v>18</v>
      </c>
      <c r="C1124" s="19">
        <f>40530+(3*365)</f>
        <v>41625</v>
      </c>
      <c r="D1124" s="18" t="s">
        <v>68</v>
      </c>
      <c r="E1124" s="18" t="s">
        <v>59</v>
      </c>
      <c r="F1124" s="21">
        <v>630</v>
      </c>
    </row>
    <row r="1125" spans="2:6" x14ac:dyDescent="0.25">
      <c r="B1125" s="18" t="s">
        <v>8</v>
      </c>
      <c r="C1125" s="19">
        <f>40678+(3*365)</f>
        <v>41773</v>
      </c>
      <c r="D1125" s="18" t="s">
        <v>81</v>
      </c>
      <c r="E1125" s="18" t="s">
        <v>64</v>
      </c>
      <c r="F1125" s="21">
        <v>8376</v>
      </c>
    </row>
    <row r="1126" spans="2:6" x14ac:dyDescent="0.25">
      <c r="B1126" s="18" t="s">
        <v>11</v>
      </c>
      <c r="C1126" s="19">
        <f>40286+(3*365)</f>
        <v>41381</v>
      </c>
      <c r="D1126" s="18" t="s">
        <v>60</v>
      </c>
      <c r="E1126" s="18" t="s">
        <v>72</v>
      </c>
      <c r="F1126" s="21">
        <v>774</v>
      </c>
    </row>
    <row r="1127" spans="2:6" x14ac:dyDescent="0.25">
      <c r="B1127" s="18" t="s">
        <v>18</v>
      </c>
      <c r="C1127" s="19">
        <f>40976+(3*365)</f>
        <v>42071</v>
      </c>
      <c r="D1127" s="18" t="s">
        <v>71</v>
      </c>
      <c r="E1127" s="18" t="s">
        <v>66</v>
      </c>
      <c r="F1127" s="21">
        <v>1800</v>
      </c>
    </row>
    <row r="1128" spans="2:6" x14ac:dyDescent="0.25">
      <c r="B1128" s="18" t="s">
        <v>31</v>
      </c>
      <c r="C1128" s="19">
        <f>40073+(3*365)</f>
        <v>41168</v>
      </c>
      <c r="D1128" s="18" t="s">
        <v>70</v>
      </c>
      <c r="E1128" s="18" t="s">
        <v>72</v>
      </c>
      <c r="F1128" s="21">
        <v>1404</v>
      </c>
    </row>
    <row r="1129" spans="2:6" x14ac:dyDescent="0.25">
      <c r="B1129" s="18" t="s">
        <v>18</v>
      </c>
      <c r="C1129" s="19">
        <f>40477+(3*365)</f>
        <v>41572</v>
      </c>
      <c r="D1129" s="18" t="s">
        <v>71</v>
      </c>
      <c r="E1129" s="18" t="s">
        <v>69</v>
      </c>
      <c r="F1129" s="21">
        <v>720</v>
      </c>
    </row>
    <row r="1130" spans="2:6" x14ac:dyDescent="0.25">
      <c r="B1130" s="18" t="s">
        <v>10</v>
      </c>
      <c r="C1130" s="19">
        <f>40041+(3*365)</f>
        <v>41136</v>
      </c>
      <c r="D1130" s="18" t="s">
        <v>67</v>
      </c>
      <c r="E1130" s="18" t="s">
        <v>64</v>
      </c>
      <c r="F1130" s="21">
        <v>1568</v>
      </c>
    </row>
    <row r="1131" spans="2:6" x14ac:dyDescent="0.25">
      <c r="B1131" s="18" t="s">
        <v>11</v>
      </c>
      <c r="C1131" s="19">
        <f>39817+(3*365)</f>
        <v>40912</v>
      </c>
      <c r="D1131" s="18" t="s">
        <v>74</v>
      </c>
      <c r="E1131" s="18" t="s">
        <v>64</v>
      </c>
      <c r="F1131" s="21">
        <v>8715</v>
      </c>
    </row>
    <row r="1132" spans="2:6" x14ac:dyDescent="0.25">
      <c r="B1132" s="18" t="s">
        <v>11</v>
      </c>
      <c r="C1132" s="19">
        <f>40321+(3*365)</f>
        <v>41416</v>
      </c>
      <c r="D1132" s="18" t="s">
        <v>74</v>
      </c>
      <c r="E1132" s="18" t="s">
        <v>66</v>
      </c>
      <c r="F1132" s="21">
        <v>819</v>
      </c>
    </row>
    <row r="1133" spans="2:6" x14ac:dyDescent="0.25">
      <c r="B1133" s="18" t="s">
        <v>9</v>
      </c>
      <c r="C1133" s="19">
        <f>40488+(3*365)</f>
        <v>41583</v>
      </c>
      <c r="D1133" s="18" t="s">
        <v>80</v>
      </c>
      <c r="E1133" s="18" t="s">
        <v>63</v>
      </c>
      <c r="F1133" s="21">
        <v>132</v>
      </c>
    </row>
    <row r="1134" spans="2:6" x14ac:dyDescent="0.25">
      <c r="B1134" s="18" t="s">
        <v>8</v>
      </c>
      <c r="C1134" s="19">
        <f>40223+(3*365)</f>
        <v>41318</v>
      </c>
      <c r="D1134" s="18" t="s">
        <v>77</v>
      </c>
      <c r="E1134" s="18" t="s">
        <v>69</v>
      </c>
      <c r="F1134" s="21">
        <v>2368</v>
      </c>
    </row>
    <row r="1135" spans="2:6" x14ac:dyDescent="0.25">
      <c r="B1135" s="18" t="s">
        <v>25</v>
      </c>
      <c r="C1135" s="19">
        <f>41203+(3*365)</f>
        <v>42298</v>
      </c>
      <c r="D1135" s="18" t="s">
        <v>78</v>
      </c>
      <c r="E1135" s="18" t="s">
        <v>75</v>
      </c>
      <c r="F1135" s="21">
        <v>216</v>
      </c>
    </row>
    <row r="1136" spans="2:6" x14ac:dyDescent="0.25">
      <c r="B1136" s="18" t="s">
        <v>25</v>
      </c>
      <c r="C1136" s="19">
        <f>40047+(3*365)</f>
        <v>41142</v>
      </c>
      <c r="D1136" s="18" t="s">
        <v>78</v>
      </c>
      <c r="E1136" s="18" t="s">
        <v>69</v>
      </c>
      <c r="F1136" s="21">
        <v>720</v>
      </c>
    </row>
    <row r="1137" spans="2:6" x14ac:dyDescent="0.25">
      <c r="B1137" s="18" t="s">
        <v>18</v>
      </c>
      <c r="C1137" s="19">
        <f>40094+(3*365)</f>
        <v>41189</v>
      </c>
      <c r="D1137" s="18" t="s">
        <v>68</v>
      </c>
      <c r="E1137" s="18" t="s">
        <v>64</v>
      </c>
      <c r="F1137" s="21">
        <v>6630</v>
      </c>
    </row>
    <row r="1138" spans="2:6" x14ac:dyDescent="0.25">
      <c r="B1138" s="18" t="s">
        <v>9</v>
      </c>
      <c r="C1138" s="19">
        <f>40864+(3*365)</f>
        <v>41959</v>
      </c>
      <c r="D1138" s="18" t="s">
        <v>80</v>
      </c>
      <c r="E1138" s="18" t="s">
        <v>59</v>
      </c>
      <c r="F1138" s="21">
        <v>162</v>
      </c>
    </row>
    <row r="1139" spans="2:6" x14ac:dyDescent="0.25">
      <c r="B1139" s="18" t="s">
        <v>8</v>
      </c>
      <c r="C1139" s="19">
        <f>40378+(3*365)</f>
        <v>41473</v>
      </c>
      <c r="D1139" s="18" t="s">
        <v>77</v>
      </c>
      <c r="E1139" s="18" t="s">
        <v>64</v>
      </c>
      <c r="F1139" s="21">
        <v>8328</v>
      </c>
    </row>
    <row r="1140" spans="2:6" x14ac:dyDescent="0.25">
      <c r="B1140" s="18" t="s">
        <v>11</v>
      </c>
      <c r="C1140" s="19">
        <f>40105+(3*365)</f>
        <v>41200</v>
      </c>
      <c r="D1140" s="18" t="s">
        <v>60</v>
      </c>
      <c r="E1140" s="18" t="s">
        <v>64</v>
      </c>
      <c r="F1140" s="21">
        <v>7236</v>
      </c>
    </row>
    <row r="1141" spans="2:6" x14ac:dyDescent="0.25">
      <c r="B1141" s="18" t="s">
        <v>11</v>
      </c>
      <c r="C1141" s="19">
        <f>39921+(3*365)</f>
        <v>41016</v>
      </c>
      <c r="D1141" s="18" t="s">
        <v>60</v>
      </c>
      <c r="E1141" s="18" t="s">
        <v>63</v>
      </c>
      <c r="F1141" s="21">
        <v>1782</v>
      </c>
    </row>
    <row r="1142" spans="2:6" x14ac:dyDescent="0.25">
      <c r="B1142" s="18" t="s">
        <v>8</v>
      </c>
      <c r="C1142" s="19">
        <f>40604+(3*365)</f>
        <v>41699</v>
      </c>
      <c r="D1142" s="18" t="s">
        <v>77</v>
      </c>
      <c r="E1142" s="18" t="s">
        <v>61</v>
      </c>
      <c r="F1142" s="21">
        <v>384</v>
      </c>
    </row>
    <row r="1143" spans="2:6" x14ac:dyDescent="0.25">
      <c r="B1143" s="18" t="s">
        <v>9</v>
      </c>
      <c r="C1143" s="19">
        <f>40106+(3*365)</f>
        <v>41201</v>
      </c>
      <c r="D1143" s="18" t="s">
        <v>80</v>
      </c>
      <c r="E1143" s="18" t="s">
        <v>72</v>
      </c>
      <c r="F1143" s="21">
        <v>780</v>
      </c>
    </row>
    <row r="1144" spans="2:6" x14ac:dyDescent="0.25">
      <c r="B1144" s="18" t="s">
        <v>10</v>
      </c>
      <c r="C1144" s="19">
        <f>41106+(3*365)</f>
        <v>42201</v>
      </c>
      <c r="D1144" s="18" t="s">
        <v>67</v>
      </c>
      <c r="E1144" s="18" t="s">
        <v>64</v>
      </c>
      <c r="F1144" s="21">
        <v>9576</v>
      </c>
    </row>
    <row r="1145" spans="2:6" x14ac:dyDescent="0.25">
      <c r="B1145" s="18" t="s">
        <v>10</v>
      </c>
      <c r="C1145" s="19">
        <f>41038+(3*365)</f>
        <v>42133</v>
      </c>
      <c r="D1145" s="18" t="s">
        <v>65</v>
      </c>
      <c r="E1145" s="18" t="s">
        <v>72</v>
      </c>
      <c r="F1145" s="21">
        <v>5166</v>
      </c>
    </row>
    <row r="1146" spans="2:6" x14ac:dyDescent="0.25">
      <c r="B1146" s="18" t="s">
        <v>21</v>
      </c>
      <c r="C1146" s="19">
        <f>41184+(3*365)</f>
        <v>42279</v>
      </c>
      <c r="D1146" s="18" t="s">
        <v>73</v>
      </c>
      <c r="E1146" s="18" t="s">
        <v>72</v>
      </c>
      <c r="F1146" s="21">
        <v>2880</v>
      </c>
    </row>
    <row r="1147" spans="2:6" x14ac:dyDescent="0.25">
      <c r="B1147" s="18" t="s">
        <v>25</v>
      </c>
      <c r="C1147" s="19">
        <f>40029+(3*365)</f>
        <v>41124</v>
      </c>
      <c r="D1147" s="18" t="s">
        <v>79</v>
      </c>
      <c r="E1147" s="18" t="s">
        <v>61</v>
      </c>
      <c r="F1147" s="21">
        <v>670</v>
      </c>
    </row>
    <row r="1148" spans="2:6" x14ac:dyDescent="0.25">
      <c r="B1148" s="18" t="s">
        <v>25</v>
      </c>
      <c r="C1148" s="19">
        <f>39980+(3*365)</f>
        <v>41075</v>
      </c>
      <c r="D1148" s="18" t="s">
        <v>79</v>
      </c>
      <c r="E1148" s="18" t="s">
        <v>64</v>
      </c>
      <c r="F1148" s="21">
        <v>11880</v>
      </c>
    </row>
    <row r="1149" spans="2:6" x14ac:dyDescent="0.25">
      <c r="B1149" s="18" t="s">
        <v>25</v>
      </c>
      <c r="C1149" s="19">
        <f>40436+(3*365)</f>
        <v>41531</v>
      </c>
      <c r="D1149" s="18" t="s">
        <v>79</v>
      </c>
      <c r="E1149" s="18" t="s">
        <v>69</v>
      </c>
      <c r="F1149" s="21">
        <v>1200</v>
      </c>
    </row>
    <row r="1150" spans="2:6" x14ac:dyDescent="0.25">
      <c r="B1150" s="18" t="s">
        <v>31</v>
      </c>
      <c r="C1150" s="19">
        <f>40316+(3*365)</f>
        <v>41411</v>
      </c>
      <c r="D1150" s="18" t="s">
        <v>70</v>
      </c>
      <c r="E1150" s="18" t="s">
        <v>59</v>
      </c>
      <c r="F1150" s="21">
        <v>192</v>
      </c>
    </row>
    <row r="1151" spans="2:6" x14ac:dyDescent="0.25">
      <c r="B1151" s="18" t="s">
        <v>31</v>
      </c>
      <c r="C1151" s="19">
        <f>40604+(3*365)</f>
        <v>41699</v>
      </c>
      <c r="D1151" s="18" t="s">
        <v>70</v>
      </c>
      <c r="E1151" s="18" t="s">
        <v>66</v>
      </c>
      <c r="F1151" s="21">
        <v>1170</v>
      </c>
    </row>
    <row r="1152" spans="2:6" x14ac:dyDescent="0.25">
      <c r="B1152" s="18" t="s">
        <v>10</v>
      </c>
      <c r="C1152" s="19">
        <f>40077+(3*365)</f>
        <v>41172</v>
      </c>
      <c r="D1152" s="18" t="s">
        <v>67</v>
      </c>
      <c r="E1152" s="18" t="s">
        <v>69</v>
      </c>
      <c r="F1152" s="21">
        <v>976</v>
      </c>
    </row>
    <row r="1153" spans="2:6" x14ac:dyDescent="0.25">
      <c r="B1153" s="18" t="s">
        <v>9</v>
      </c>
      <c r="C1153" s="19">
        <f>41169+(3*365)</f>
        <v>42264</v>
      </c>
      <c r="D1153" s="18" t="s">
        <v>62</v>
      </c>
      <c r="E1153" s="18" t="s">
        <v>69</v>
      </c>
      <c r="F1153" s="21">
        <v>1476</v>
      </c>
    </row>
    <row r="1154" spans="2:6" x14ac:dyDescent="0.25">
      <c r="B1154" s="18" t="s">
        <v>21</v>
      </c>
      <c r="C1154" s="19">
        <f>40977+(3*365)</f>
        <v>42072</v>
      </c>
      <c r="D1154" s="18" t="s">
        <v>73</v>
      </c>
      <c r="E1154" s="18" t="s">
        <v>75</v>
      </c>
      <c r="F1154" s="21">
        <v>132</v>
      </c>
    </row>
    <row r="1155" spans="2:6" x14ac:dyDescent="0.25">
      <c r="B1155" s="18" t="s">
        <v>21</v>
      </c>
      <c r="C1155" s="19">
        <f>40883+(3*365)</f>
        <v>41978</v>
      </c>
      <c r="D1155" s="18" t="s">
        <v>73</v>
      </c>
      <c r="E1155" s="18" t="s">
        <v>72</v>
      </c>
      <c r="F1155" s="21">
        <v>1404</v>
      </c>
    </row>
    <row r="1156" spans="2:6" x14ac:dyDescent="0.25">
      <c r="B1156" s="18" t="s">
        <v>18</v>
      </c>
      <c r="C1156" s="19">
        <f>40773+(3*365)</f>
        <v>41868</v>
      </c>
      <c r="D1156" s="18" t="s">
        <v>68</v>
      </c>
      <c r="E1156" s="18" t="s">
        <v>69</v>
      </c>
      <c r="F1156" s="21">
        <v>3232</v>
      </c>
    </row>
    <row r="1157" spans="2:6" x14ac:dyDescent="0.25">
      <c r="B1157" s="18" t="s">
        <v>9</v>
      </c>
      <c r="C1157" s="19">
        <f>40471+(3*365)</f>
        <v>41566</v>
      </c>
      <c r="D1157" s="18" t="s">
        <v>62</v>
      </c>
      <c r="E1157" s="18" t="s">
        <v>69</v>
      </c>
      <c r="F1157" s="21">
        <v>270</v>
      </c>
    </row>
    <row r="1158" spans="2:6" x14ac:dyDescent="0.25">
      <c r="B1158" s="18" t="s">
        <v>8</v>
      </c>
      <c r="C1158" s="19">
        <f>40562+(3*365)</f>
        <v>41657</v>
      </c>
      <c r="D1158" s="18" t="s">
        <v>81</v>
      </c>
      <c r="E1158" s="18" t="s">
        <v>66</v>
      </c>
      <c r="F1158" s="21">
        <v>1020</v>
      </c>
    </row>
    <row r="1159" spans="2:6" x14ac:dyDescent="0.25">
      <c r="B1159" s="18" t="s">
        <v>8</v>
      </c>
      <c r="C1159" s="19">
        <f>40111+(3*365)</f>
        <v>41206</v>
      </c>
      <c r="D1159" s="18" t="s">
        <v>77</v>
      </c>
      <c r="E1159" s="18" t="s">
        <v>64</v>
      </c>
      <c r="F1159" s="21">
        <v>5790</v>
      </c>
    </row>
    <row r="1160" spans="2:6" x14ac:dyDescent="0.25">
      <c r="B1160" s="18" t="s">
        <v>11</v>
      </c>
      <c r="C1160" s="19">
        <f>41076+(3*365)</f>
        <v>42171</v>
      </c>
      <c r="D1160" s="18" t="s">
        <v>60</v>
      </c>
      <c r="E1160" s="18" t="s">
        <v>59</v>
      </c>
      <c r="F1160" s="21">
        <v>936</v>
      </c>
    </row>
    <row r="1161" spans="2:6" x14ac:dyDescent="0.25">
      <c r="B1161" s="18" t="s">
        <v>8</v>
      </c>
      <c r="C1161" s="19">
        <f>41270+(3*365)</f>
        <v>42365</v>
      </c>
      <c r="D1161" s="18" t="s">
        <v>81</v>
      </c>
      <c r="E1161" s="18" t="s">
        <v>69</v>
      </c>
      <c r="F1161" s="21">
        <v>736</v>
      </c>
    </row>
    <row r="1162" spans="2:6" x14ac:dyDescent="0.25">
      <c r="B1162" s="18" t="s">
        <v>11</v>
      </c>
      <c r="C1162" s="19">
        <f>40271+(3*365)</f>
        <v>41366</v>
      </c>
      <c r="D1162" s="18" t="s">
        <v>74</v>
      </c>
      <c r="E1162" s="18" t="s">
        <v>69</v>
      </c>
      <c r="F1162" s="21">
        <v>348</v>
      </c>
    </row>
    <row r="1163" spans="2:6" x14ac:dyDescent="0.25">
      <c r="B1163" s="18" t="s">
        <v>9</v>
      </c>
      <c r="C1163" s="19">
        <f>40101+(3*365)</f>
        <v>41196</v>
      </c>
      <c r="D1163" s="18" t="s">
        <v>62</v>
      </c>
      <c r="E1163" s="18" t="s">
        <v>63</v>
      </c>
      <c r="F1163" s="21">
        <v>336</v>
      </c>
    </row>
    <row r="1164" spans="2:6" x14ac:dyDescent="0.25">
      <c r="B1164" s="18" t="s">
        <v>11</v>
      </c>
      <c r="C1164" s="19">
        <f>40013+(3*365)</f>
        <v>41108</v>
      </c>
      <c r="D1164" s="18" t="s">
        <v>74</v>
      </c>
      <c r="E1164" s="18" t="s">
        <v>75</v>
      </c>
      <c r="F1164" s="21">
        <v>405</v>
      </c>
    </row>
    <row r="1165" spans="2:6" x14ac:dyDescent="0.25">
      <c r="B1165" s="18" t="s">
        <v>10</v>
      </c>
      <c r="C1165" s="19">
        <f>40542+(3*365)</f>
        <v>41637</v>
      </c>
      <c r="D1165" s="18" t="s">
        <v>67</v>
      </c>
      <c r="E1165" s="18" t="s">
        <v>61</v>
      </c>
      <c r="F1165" s="21">
        <v>378</v>
      </c>
    </row>
    <row r="1166" spans="2:6" x14ac:dyDescent="0.25">
      <c r="B1166" s="18" t="s">
        <v>10</v>
      </c>
      <c r="C1166" s="19">
        <f>40868+(3*365)</f>
        <v>41963</v>
      </c>
      <c r="D1166" s="18" t="s">
        <v>65</v>
      </c>
      <c r="E1166" s="18" t="s">
        <v>59</v>
      </c>
      <c r="F1166" s="21">
        <v>450</v>
      </c>
    </row>
    <row r="1167" spans="2:6" x14ac:dyDescent="0.25">
      <c r="B1167" s="18" t="s">
        <v>25</v>
      </c>
      <c r="C1167" s="19">
        <f>40039+(3*365)</f>
        <v>41134</v>
      </c>
      <c r="D1167" s="18" t="s">
        <v>78</v>
      </c>
      <c r="E1167" s="18" t="s">
        <v>63</v>
      </c>
      <c r="F1167" s="21">
        <v>116</v>
      </c>
    </row>
    <row r="1168" spans="2:6" x14ac:dyDescent="0.25">
      <c r="B1168" s="18" t="s">
        <v>31</v>
      </c>
      <c r="C1168" s="19">
        <f>40234+(3*365)</f>
        <v>41329</v>
      </c>
      <c r="D1168" s="18" t="s">
        <v>76</v>
      </c>
      <c r="E1168" s="18" t="s">
        <v>75</v>
      </c>
      <c r="F1168" s="21">
        <v>45</v>
      </c>
    </row>
    <row r="1169" spans="2:6" x14ac:dyDescent="0.25">
      <c r="B1169" s="18" t="s">
        <v>9</v>
      </c>
      <c r="C1169" s="19">
        <f>41072+(3*365)</f>
        <v>42167</v>
      </c>
      <c r="D1169" s="18" t="s">
        <v>62</v>
      </c>
      <c r="E1169" s="18" t="s">
        <v>61</v>
      </c>
      <c r="F1169" s="21">
        <v>195</v>
      </c>
    </row>
    <row r="1170" spans="2:6" x14ac:dyDescent="0.25">
      <c r="B1170" s="18" t="s">
        <v>11</v>
      </c>
      <c r="C1170" s="19">
        <f>40095+(3*365)</f>
        <v>41190</v>
      </c>
      <c r="D1170" s="18" t="s">
        <v>74</v>
      </c>
      <c r="E1170" s="18" t="s">
        <v>66</v>
      </c>
      <c r="F1170" s="21">
        <v>714</v>
      </c>
    </row>
    <row r="1171" spans="2:6" x14ac:dyDescent="0.25">
      <c r="B1171" s="18" t="s">
        <v>21</v>
      </c>
      <c r="C1171" s="19">
        <f>40322+(3*365)</f>
        <v>41417</v>
      </c>
      <c r="D1171" s="18" t="s">
        <v>73</v>
      </c>
      <c r="E1171" s="18" t="s">
        <v>69</v>
      </c>
      <c r="F1171" s="21">
        <v>2240</v>
      </c>
    </row>
    <row r="1172" spans="2:6" x14ac:dyDescent="0.25">
      <c r="B1172" s="18" t="s">
        <v>18</v>
      </c>
      <c r="C1172" s="19">
        <f>40737+(3*365)</f>
        <v>41832</v>
      </c>
      <c r="D1172" s="18" t="s">
        <v>68</v>
      </c>
      <c r="E1172" s="18" t="s">
        <v>64</v>
      </c>
      <c r="F1172" s="21">
        <v>6800</v>
      </c>
    </row>
    <row r="1173" spans="2:6" x14ac:dyDescent="0.25">
      <c r="B1173" s="18" t="s">
        <v>11</v>
      </c>
      <c r="C1173" s="19">
        <f>41207+(3*365)</f>
        <v>42302</v>
      </c>
      <c r="D1173" s="18" t="s">
        <v>74</v>
      </c>
      <c r="E1173" s="18" t="s">
        <v>69</v>
      </c>
      <c r="F1173" s="21">
        <v>3640</v>
      </c>
    </row>
    <row r="1174" spans="2:6" x14ac:dyDescent="0.25">
      <c r="B1174" s="18" t="s">
        <v>25</v>
      </c>
      <c r="C1174" s="19">
        <f>40583+(3*365)</f>
        <v>41678</v>
      </c>
      <c r="D1174" s="18" t="s">
        <v>79</v>
      </c>
      <c r="E1174" s="18" t="s">
        <v>66</v>
      </c>
      <c r="F1174" s="21">
        <v>1176</v>
      </c>
    </row>
    <row r="1175" spans="2:6" x14ac:dyDescent="0.25">
      <c r="B1175" s="18" t="s">
        <v>11</v>
      </c>
      <c r="C1175" s="19">
        <f>40278+(3*365)</f>
        <v>41373</v>
      </c>
      <c r="D1175" s="18" t="s">
        <v>60</v>
      </c>
      <c r="E1175" s="18" t="s">
        <v>64</v>
      </c>
      <c r="F1175" s="21">
        <v>7980</v>
      </c>
    </row>
    <row r="1176" spans="2:6" x14ac:dyDescent="0.25">
      <c r="B1176" s="18" t="s">
        <v>25</v>
      </c>
      <c r="C1176" s="19">
        <f>41241+(3*365)</f>
        <v>42336</v>
      </c>
      <c r="D1176" s="18" t="s">
        <v>79</v>
      </c>
      <c r="E1176" s="18" t="s">
        <v>61</v>
      </c>
      <c r="F1176" s="21">
        <v>236</v>
      </c>
    </row>
    <row r="1177" spans="2:6" x14ac:dyDescent="0.25">
      <c r="B1177" s="18" t="s">
        <v>31</v>
      </c>
      <c r="C1177" s="19">
        <f>40012+(3*365)</f>
        <v>41107</v>
      </c>
      <c r="D1177" s="18" t="s">
        <v>76</v>
      </c>
      <c r="E1177" s="18" t="s">
        <v>64</v>
      </c>
      <c r="F1177" s="21">
        <v>4296</v>
      </c>
    </row>
    <row r="1178" spans="2:6" x14ac:dyDescent="0.25">
      <c r="B1178" s="18" t="s">
        <v>21</v>
      </c>
      <c r="C1178" s="19">
        <f>40967+(3*365)</f>
        <v>42062</v>
      </c>
      <c r="D1178" s="18" t="s">
        <v>58</v>
      </c>
      <c r="E1178" s="18" t="s">
        <v>64</v>
      </c>
      <c r="F1178" s="21">
        <v>14432</v>
      </c>
    </row>
    <row r="1179" spans="2:6" x14ac:dyDescent="0.25">
      <c r="B1179" s="18" t="s">
        <v>9</v>
      </c>
      <c r="C1179" s="19">
        <f>40906+(3*365)</f>
        <v>42001</v>
      </c>
      <c r="D1179" s="18" t="s">
        <v>62</v>
      </c>
      <c r="E1179" s="18" t="s">
        <v>69</v>
      </c>
      <c r="F1179" s="21">
        <v>306</v>
      </c>
    </row>
    <row r="1180" spans="2:6" x14ac:dyDescent="0.25">
      <c r="B1180" s="18" t="s">
        <v>25</v>
      </c>
      <c r="C1180" s="19">
        <f>40026+(3*365)</f>
        <v>41121</v>
      </c>
      <c r="D1180" s="18" t="s">
        <v>78</v>
      </c>
      <c r="E1180" s="18" t="s">
        <v>63</v>
      </c>
      <c r="F1180" s="21">
        <v>736</v>
      </c>
    </row>
    <row r="1181" spans="2:6" x14ac:dyDescent="0.25">
      <c r="B1181" s="18" t="s">
        <v>11</v>
      </c>
      <c r="C1181" s="19">
        <f>40722+(3*365)</f>
        <v>41817</v>
      </c>
      <c r="D1181" s="18" t="s">
        <v>60</v>
      </c>
      <c r="E1181" s="18" t="s">
        <v>69</v>
      </c>
      <c r="F1181" s="21">
        <v>3132</v>
      </c>
    </row>
    <row r="1182" spans="2:6" x14ac:dyDescent="0.25">
      <c r="B1182" s="18" t="s">
        <v>9</v>
      </c>
      <c r="C1182" s="19">
        <f>40761+(3*365)</f>
        <v>41856</v>
      </c>
      <c r="D1182" s="18" t="s">
        <v>80</v>
      </c>
      <c r="E1182" s="18" t="s">
        <v>72</v>
      </c>
      <c r="F1182" s="21">
        <v>483</v>
      </c>
    </row>
    <row r="1183" spans="2:6" x14ac:dyDescent="0.25">
      <c r="B1183" s="18" t="s">
        <v>21</v>
      </c>
      <c r="C1183" s="19">
        <f>40556+(3*365)</f>
        <v>41651</v>
      </c>
      <c r="D1183" s="18" t="s">
        <v>58</v>
      </c>
      <c r="E1183" s="18" t="s">
        <v>63</v>
      </c>
      <c r="F1183" s="21">
        <v>282</v>
      </c>
    </row>
    <row r="1184" spans="2:6" x14ac:dyDescent="0.25">
      <c r="B1184" s="18" t="s">
        <v>21</v>
      </c>
      <c r="C1184" s="19">
        <f>40312+(3*365)</f>
        <v>41407</v>
      </c>
      <c r="D1184" s="18" t="s">
        <v>58</v>
      </c>
      <c r="E1184" s="18" t="s">
        <v>66</v>
      </c>
      <c r="F1184" s="21">
        <v>154</v>
      </c>
    </row>
    <row r="1185" spans="2:6" x14ac:dyDescent="0.25">
      <c r="B1185" s="18" t="s">
        <v>8</v>
      </c>
      <c r="C1185" s="19">
        <f>41213+(3*365)</f>
        <v>42308</v>
      </c>
      <c r="D1185" s="18" t="s">
        <v>81</v>
      </c>
      <c r="E1185" s="18" t="s">
        <v>66</v>
      </c>
      <c r="F1185" s="21">
        <v>1944</v>
      </c>
    </row>
    <row r="1186" spans="2:6" x14ac:dyDescent="0.25">
      <c r="B1186" s="18" t="s">
        <v>31</v>
      </c>
      <c r="C1186" s="19">
        <f>41137+(3*365)</f>
        <v>42232</v>
      </c>
      <c r="D1186" s="18" t="s">
        <v>70</v>
      </c>
      <c r="E1186" s="18" t="s">
        <v>69</v>
      </c>
      <c r="F1186" s="21">
        <v>1632</v>
      </c>
    </row>
    <row r="1187" spans="2:6" x14ac:dyDescent="0.25">
      <c r="B1187" s="18" t="s">
        <v>10</v>
      </c>
      <c r="C1187" s="19">
        <f>39863+(3*365)</f>
        <v>40958</v>
      </c>
      <c r="D1187" s="18" t="s">
        <v>67</v>
      </c>
      <c r="E1187" s="18" t="s">
        <v>72</v>
      </c>
      <c r="F1187" s="21">
        <v>800</v>
      </c>
    </row>
    <row r="1188" spans="2:6" x14ac:dyDescent="0.25">
      <c r="B1188" s="18" t="s">
        <v>11</v>
      </c>
      <c r="C1188" s="19">
        <f>40951+(3*365)</f>
        <v>42046</v>
      </c>
      <c r="D1188" s="18" t="s">
        <v>74</v>
      </c>
      <c r="E1188" s="18" t="s">
        <v>61</v>
      </c>
      <c r="F1188" s="21">
        <v>1764</v>
      </c>
    </row>
    <row r="1189" spans="2:6" x14ac:dyDescent="0.25">
      <c r="B1189" s="18" t="s">
        <v>11</v>
      </c>
      <c r="C1189" s="19">
        <f>41229+(3*365)</f>
        <v>42324</v>
      </c>
      <c r="D1189" s="18" t="s">
        <v>74</v>
      </c>
      <c r="E1189" s="18" t="s">
        <v>63</v>
      </c>
      <c r="F1189" s="21">
        <v>268</v>
      </c>
    </row>
    <row r="1190" spans="2:6" x14ac:dyDescent="0.25">
      <c r="B1190" s="18" t="s">
        <v>11</v>
      </c>
      <c r="C1190" s="19">
        <f>40045+(3*365)</f>
        <v>41140</v>
      </c>
      <c r="D1190" s="18" t="s">
        <v>74</v>
      </c>
      <c r="E1190" s="18" t="s">
        <v>63</v>
      </c>
      <c r="F1190" s="21">
        <v>672</v>
      </c>
    </row>
    <row r="1191" spans="2:6" x14ac:dyDescent="0.25">
      <c r="B1191" s="18" t="s">
        <v>25</v>
      </c>
      <c r="C1191" s="19">
        <f>41093+(3*365)</f>
        <v>42188</v>
      </c>
      <c r="D1191" s="18" t="s">
        <v>79</v>
      </c>
      <c r="E1191" s="18" t="s">
        <v>63</v>
      </c>
      <c r="F1191" s="21">
        <v>448</v>
      </c>
    </row>
    <row r="1192" spans="2:6" x14ac:dyDescent="0.25">
      <c r="B1192" s="18" t="s">
        <v>25</v>
      </c>
      <c r="C1192" s="19">
        <f>40848+(3*365)</f>
        <v>41943</v>
      </c>
      <c r="D1192" s="18" t="s">
        <v>78</v>
      </c>
      <c r="E1192" s="18" t="s">
        <v>63</v>
      </c>
      <c r="F1192" s="21">
        <v>1764</v>
      </c>
    </row>
    <row r="1193" spans="2:6" x14ac:dyDescent="0.25">
      <c r="B1193" s="18" t="s">
        <v>9</v>
      </c>
      <c r="C1193" s="19">
        <f>41240+(3*365)</f>
        <v>42335</v>
      </c>
      <c r="D1193" s="18" t="s">
        <v>62</v>
      </c>
      <c r="E1193" s="18" t="s">
        <v>72</v>
      </c>
      <c r="F1193" s="21">
        <v>183</v>
      </c>
    </row>
    <row r="1194" spans="2:6" x14ac:dyDescent="0.25">
      <c r="B1194" s="18" t="s">
        <v>25</v>
      </c>
      <c r="C1194" s="19">
        <f>40120+(3*365)</f>
        <v>41215</v>
      </c>
      <c r="D1194" s="18" t="s">
        <v>79</v>
      </c>
      <c r="E1194" s="18" t="s">
        <v>61</v>
      </c>
      <c r="F1194" s="21">
        <v>976</v>
      </c>
    </row>
    <row r="1195" spans="2:6" x14ac:dyDescent="0.25">
      <c r="B1195" s="18" t="s">
        <v>18</v>
      </c>
      <c r="C1195" s="19">
        <f>40741+(3*365)</f>
        <v>41836</v>
      </c>
      <c r="D1195" s="18" t="s">
        <v>68</v>
      </c>
      <c r="E1195" s="18" t="s">
        <v>66</v>
      </c>
      <c r="F1195" s="21">
        <v>2380</v>
      </c>
    </row>
    <row r="1196" spans="2:6" x14ac:dyDescent="0.25">
      <c r="B1196" s="18" t="s">
        <v>18</v>
      </c>
      <c r="C1196" s="19">
        <f>40186+(3*365)</f>
        <v>41281</v>
      </c>
      <c r="D1196" s="18" t="s">
        <v>68</v>
      </c>
      <c r="E1196" s="18" t="s">
        <v>66</v>
      </c>
      <c r="F1196" s="21">
        <v>768</v>
      </c>
    </row>
    <row r="1197" spans="2:6" x14ac:dyDescent="0.25">
      <c r="B1197" s="18" t="s">
        <v>9</v>
      </c>
      <c r="C1197" s="19">
        <f>41246+(3*365)</f>
        <v>42341</v>
      </c>
      <c r="D1197" s="18" t="s">
        <v>62</v>
      </c>
      <c r="E1197" s="18" t="s">
        <v>75</v>
      </c>
      <c r="F1197" s="21">
        <v>102</v>
      </c>
    </row>
    <row r="1198" spans="2:6" x14ac:dyDescent="0.25">
      <c r="B1198" s="18" t="s">
        <v>31</v>
      </c>
      <c r="C1198" s="19">
        <f>41108+(3*365)</f>
        <v>42203</v>
      </c>
      <c r="D1198" s="18" t="s">
        <v>70</v>
      </c>
      <c r="E1198" s="18" t="s">
        <v>75</v>
      </c>
      <c r="F1198" s="21">
        <v>816</v>
      </c>
    </row>
    <row r="1199" spans="2:6" x14ac:dyDescent="0.25">
      <c r="B1199" s="18" t="s">
        <v>21</v>
      </c>
      <c r="C1199" s="19">
        <f>40139+(3*365)</f>
        <v>41234</v>
      </c>
      <c r="D1199" s="18" t="s">
        <v>58</v>
      </c>
      <c r="E1199" s="18" t="s">
        <v>72</v>
      </c>
      <c r="F1199" s="21">
        <v>2248</v>
      </c>
    </row>
    <row r="1200" spans="2:6" x14ac:dyDescent="0.25">
      <c r="B1200" s="18" t="s">
        <v>10</v>
      </c>
      <c r="C1200" s="19">
        <f>40021+(3*365)</f>
        <v>41116</v>
      </c>
      <c r="D1200" s="18" t="s">
        <v>65</v>
      </c>
      <c r="E1200" s="18" t="s">
        <v>72</v>
      </c>
      <c r="F1200" s="21">
        <v>2912</v>
      </c>
    </row>
    <row r="1201" spans="2:6" x14ac:dyDescent="0.25">
      <c r="B1201" s="18" t="s">
        <v>9</v>
      </c>
      <c r="C1201" s="19">
        <f>40360+(3*365)</f>
        <v>41455</v>
      </c>
      <c r="D1201" s="18" t="s">
        <v>80</v>
      </c>
      <c r="E1201" s="18" t="s">
        <v>69</v>
      </c>
      <c r="F1201" s="21">
        <v>972</v>
      </c>
    </row>
    <row r="1202" spans="2:6" x14ac:dyDescent="0.25">
      <c r="B1202" s="18" t="s">
        <v>18</v>
      </c>
      <c r="C1202" s="19">
        <f>39918+(3*365)</f>
        <v>41013</v>
      </c>
      <c r="D1202" s="18" t="s">
        <v>68</v>
      </c>
      <c r="E1202" s="18" t="s">
        <v>61</v>
      </c>
      <c r="F1202" s="21">
        <v>148</v>
      </c>
    </row>
    <row r="1203" spans="2:6" x14ac:dyDescent="0.25">
      <c r="B1203" s="18" t="s">
        <v>31</v>
      </c>
      <c r="C1203" s="19">
        <f>40230+(3*365)</f>
        <v>41325</v>
      </c>
      <c r="D1203" s="18" t="s">
        <v>70</v>
      </c>
      <c r="E1203" s="18" t="s">
        <v>72</v>
      </c>
      <c r="F1203" s="21">
        <v>4320</v>
      </c>
    </row>
    <row r="1204" spans="2:6" x14ac:dyDescent="0.25">
      <c r="B1204" s="18" t="s">
        <v>21</v>
      </c>
      <c r="C1204" s="19">
        <f>40315+(3*365)</f>
        <v>41410</v>
      </c>
      <c r="D1204" s="18" t="s">
        <v>73</v>
      </c>
      <c r="E1204" s="18" t="s">
        <v>61</v>
      </c>
      <c r="F1204" s="21">
        <v>360</v>
      </c>
    </row>
    <row r="1205" spans="2:6" x14ac:dyDescent="0.25">
      <c r="B1205" s="18" t="s">
        <v>10</v>
      </c>
      <c r="C1205" s="19">
        <f>40599+(3*365)</f>
        <v>41694</v>
      </c>
      <c r="D1205" s="18" t="s">
        <v>67</v>
      </c>
      <c r="E1205" s="18" t="s">
        <v>63</v>
      </c>
      <c r="F1205" s="21">
        <v>208</v>
      </c>
    </row>
    <row r="1206" spans="2:6" x14ac:dyDescent="0.25">
      <c r="B1206" s="18" t="s">
        <v>31</v>
      </c>
      <c r="C1206" s="19">
        <f>40788+(3*365)</f>
        <v>41883</v>
      </c>
      <c r="D1206" s="18" t="s">
        <v>70</v>
      </c>
      <c r="E1206" s="18" t="s">
        <v>61</v>
      </c>
      <c r="F1206" s="21">
        <v>225</v>
      </c>
    </row>
    <row r="1207" spans="2:6" x14ac:dyDescent="0.25">
      <c r="B1207" s="18" t="s">
        <v>31</v>
      </c>
      <c r="C1207" s="19">
        <f>40412+(3*365)</f>
        <v>41507</v>
      </c>
      <c r="D1207" s="18" t="s">
        <v>76</v>
      </c>
      <c r="E1207" s="18" t="s">
        <v>66</v>
      </c>
      <c r="F1207" s="21">
        <v>1068</v>
      </c>
    </row>
    <row r="1208" spans="2:6" x14ac:dyDescent="0.25">
      <c r="B1208" s="18" t="s">
        <v>18</v>
      </c>
      <c r="C1208" s="19">
        <f>40833+(3*365)</f>
        <v>41928</v>
      </c>
      <c r="D1208" s="18" t="s">
        <v>68</v>
      </c>
      <c r="E1208" s="18" t="s">
        <v>63</v>
      </c>
      <c r="F1208" s="21">
        <v>540</v>
      </c>
    </row>
    <row r="1209" spans="2:6" x14ac:dyDescent="0.25">
      <c r="B1209" s="18" t="s">
        <v>11</v>
      </c>
      <c r="C1209" s="19">
        <f>40591+(3*365)</f>
        <v>41686</v>
      </c>
      <c r="D1209" s="18" t="s">
        <v>74</v>
      </c>
      <c r="E1209" s="18" t="s">
        <v>72</v>
      </c>
      <c r="F1209" s="21">
        <v>1431</v>
      </c>
    </row>
    <row r="1210" spans="2:6" x14ac:dyDescent="0.25">
      <c r="B1210" s="18" t="s">
        <v>9</v>
      </c>
      <c r="C1210" s="19">
        <f>40105+(3*365)</f>
        <v>41200</v>
      </c>
      <c r="D1210" s="18" t="s">
        <v>80</v>
      </c>
      <c r="E1210" s="18" t="s">
        <v>75</v>
      </c>
      <c r="F1210" s="21">
        <v>532</v>
      </c>
    </row>
    <row r="1211" spans="2:6" x14ac:dyDescent="0.25">
      <c r="B1211" s="18" t="s">
        <v>9</v>
      </c>
      <c r="C1211" s="19">
        <f>40088+(3*365)</f>
        <v>41183</v>
      </c>
      <c r="D1211" s="18" t="s">
        <v>62</v>
      </c>
      <c r="E1211" s="18" t="s">
        <v>59</v>
      </c>
      <c r="F1211" s="21">
        <v>238</v>
      </c>
    </row>
    <row r="1212" spans="2:6" x14ac:dyDescent="0.25">
      <c r="B1212" s="18" t="s">
        <v>9</v>
      </c>
      <c r="C1212" s="19">
        <f>41127+(3*365)</f>
        <v>42222</v>
      </c>
      <c r="D1212" s="18" t="s">
        <v>62</v>
      </c>
      <c r="E1212" s="18" t="s">
        <v>61</v>
      </c>
      <c r="F1212" s="21">
        <v>344</v>
      </c>
    </row>
    <row r="1213" spans="2:6" x14ac:dyDescent="0.25">
      <c r="B1213" s="18" t="s">
        <v>11</v>
      </c>
      <c r="C1213" s="19">
        <f>40375+(3*365)</f>
        <v>41470</v>
      </c>
      <c r="D1213" s="18" t="s">
        <v>74</v>
      </c>
      <c r="E1213" s="18" t="s">
        <v>72</v>
      </c>
      <c r="F1213" s="21">
        <v>3255</v>
      </c>
    </row>
    <row r="1214" spans="2:6" x14ac:dyDescent="0.25">
      <c r="B1214" s="18" t="s">
        <v>18</v>
      </c>
      <c r="C1214" s="19">
        <f>40873+(3*365)</f>
        <v>41968</v>
      </c>
      <c r="D1214" s="18" t="s">
        <v>71</v>
      </c>
      <c r="E1214" s="18" t="s">
        <v>59</v>
      </c>
      <c r="F1214" s="21">
        <v>928</v>
      </c>
    </row>
    <row r="1215" spans="2:6" x14ac:dyDescent="0.25">
      <c r="B1215" s="18" t="s">
        <v>9</v>
      </c>
      <c r="C1215" s="19">
        <f>40685+(3*365)</f>
        <v>41780</v>
      </c>
      <c r="D1215" s="18" t="s">
        <v>62</v>
      </c>
      <c r="E1215" s="18" t="s">
        <v>61</v>
      </c>
      <c r="F1215" s="21">
        <v>624</v>
      </c>
    </row>
    <row r="1216" spans="2:6" x14ac:dyDescent="0.25">
      <c r="B1216" s="18" t="s">
        <v>31</v>
      </c>
      <c r="C1216" s="19">
        <f>39909+(3*365)</f>
        <v>41004</v>
      </c>
      <c r="D1216" s="18" t="s">
        <v>76</v>
      </c>
      <c r="E1216" s="18" t="s">
        <v>61</v>
      </c>
      <c r="F1216" s="21">
        <v>1296</v>
      </c>
    </row>
    <row r="1217" spans="2:6" x14ac:dyDescent="0.25">
      <c r="B1217" s="18" t="s">
        <v>21</v>
      </c>
      <c r="C1217" s="19">
        <f>40632+(3*365)</f>
        <v>41727</v>
      </c>
      <c r="D1217" s="18" t="s">
        <v>73</v>
      </c>
      <c r="E1217" s="18" t="s">
        <v>61</v>
      </c>
      <c r="F1217" s="21">
        <v>486</v>
      </c>
    </row>
    <row r="1218" spans="2:6" x14ac:dyDescent="0.25">
      <c r="B1218" s="18" t="s">
        <v>9</v>
      </c>
      <c r="C1218" s="19">
        <f>40220+(3*365)</f>
        <v>41315</v>
      </c>
      <c r="D1218" s="18" t="s">
        <v>80</v>
      </c>
      <c r="E1218" s="18" t="s">
        <v>66</v>
      </c>
      <c r="F1218" s="21">
        <v>370</v>
      </c>
    </row>
    <row r="1219" spans="2:6" x14ac:dyDescent="0.25">
      <c r="B1219" s="18" t="s">
        <v>25</v>
      </c>
      <c r="C1219" s="19">
        <f>40839+(3*365)</f>
        <v>41934</v>
      </c>
      <c r="D1219" s="18" t="s">
        <v>78</v>
      </c>
      <c r="E1219" s="18" t="s">
        <v>72</v>
      </c>
      <c r="F1219" s="21">
        <v>1200</v>
      </c>
    </row>
    <row r="1220" spans="2:6" x14ac:dyDescent="0.25">
      <c r="B1220" s="18" t="s">
        <v>10</v>
      </c>
      <c r="C1220" s="19">
        <f>39943+(3*365)</f>
        <v>41038</v>
      </c>
      <c r="D1220" s="18" t="s">
        <v>67</v>
      </c>
      <c r="E1220" s="18" t="s">
        <v>63</v>
      </c>
      <c r="F1220" s="21">
        <v>960</v>
      </c>
    </row>
    <row r="1221" spans="2:6" x14ac:dyDescent="0.25">
      <c r="B1221" s="18" t="s">
        <v>8</v>
      </c>
      <c r="C1221" s="19">
        <f>40099+(3*365)</f>
        <v>41194</v>
      </c>
      <c r="D1221" s="18" t="s">
        <v>77</v>
      </c>
      <c r="E1221" s="18" t="s">
        <v>69</v>
      </c>
      <c r="F1221" s="21">
        <v>3633</v>
      </c>
    </row>
    <row r="1222" spans="2:6" x14ac:dyDescent="0.25">
      <c r="B1222" s="18" t="s">
        <v>8</v>
      </c>
      <c r="C1222" s="19">
        <f>40477+(3*365)</f>
        <v>41572</v>
      </c>
      <c r="D1222" s="18" t="s">
        <v>81</v>
      </c>
      <c r="E1222" s="18" t="s">
        <v>64</v>
      </c>
      <c r="F1222" s="21">
        <v>4068</v>
      </c>
    </row>
    <row r="1223" spans="2:6" x14ac:dyDescent="0.25">
      <c r="B1223" s="18" t="s">
        <v>11</v>
      </c>
      <c r="C1223" s="19">
        <f>40485+(3*365)</f>
        <v>41580</v>
      </c>
      <c r="D1223" s="18" t="s">
        <v>74</v>
      </c>
      <c r="E1223" s="18" t="s">
        <v>59</v>
      </c>
      <c r="F1223" s="21">
        <v>405</v>
      </c>
    </row>
    <row r="1224" spans="2:6" x14ac:dyDescent="0.25">
      <c r="B1224" s="18" t="s">
        <v>10</v>
      </c>
      <c r="C1224" s="19">
        <f>40091+(3*365)</f>
        <v>41186</v>
      </c>
      <c r="D1224" s="18" t="s">
        <v>67</v>
      </c>
      <c r="E1224" s="18" t="s">
        <v>72</v>
      </c>
      <c r="F1224" s="21">
        <v>1036</v>
      </c>
    </row>
    <row r="1225" spans="2:6" x14ac:dyDescent="0.25">
      <c r="B1225" s="18" t="s">
        <v>25</v>
      </c>
      <c r="C1225" s="19">
        <f>40840+(3*365)</f>
        <v>41935</v>
      </c>
      <c r="D1225" s="18" t="s">
        <v>79</v>
      </c>
      <c r="E1225" s="18" t="s">
        <v>61</v>
      </c>
      <c r="F1225" s="21">
        <v>1896</v>
      </c>
    </row>
    <row r="1226" spans="2:6" x14ac:dyDescent="0.25">
      <c r="B1226" s="18" t="s">
        <v>18</v>
      </c>
      <c r="C1226" s="19">
        <f>40280+(3*365)</f>
        <v>41375</v>
      </c>
      <c r="D1226" s="18" t="s">
        <v>68</v>
      </c>
      <c r="E1226" s="18" t="s">
        <v>66</v>
      </c>
      <c r="F1226" s="21">
        <v>615</v>
      </c>
    </row>
    <row r="1227" spans="2:6" x14ac:dyDescent="0.25">
      <c r="B1227" s="18" t="s">
        <v>18</v>
      </c>
      <c r="C1227" s="19">
        <f>40658+(3*365)</f>
        <v>41753</v>
      </c>
      <c r="D1227" s="18" t="s">
        <v>68</v>
      </c>
      <c r="E1227" s="18" t="s">
        <v>64</v>
      </c>
      <c r="F1227" s="21">
        <v>7872</v>
      </c>
    </row>
    <row r="1228" spans="2:6" x14ac:dyDescent="0.25">
      <c r="B1228" s="18" t="s">
        <v>25</v>
      </c>
      <c r="C1228" s="19">
        <f>41022+(3*365)</f>
        <v>42117</v>
      </c>
      <c r="D1228" s="18" t="s">
        <v>78</v>
      </c>
      <c r="E1228" s="18" t="s">
        <v>59</v>
      </c>
      <c r="F1228" s="21">
        <v>68</v>
      </c>
    </row>
    <row r="1229" spans="2:6" x14ac:dyDescent="0.25">
      <c r="B1229" s="18" t="s">
        <v>25</v>
      </c>
      <c r="C1229" s="19">
        <f>40986+(3*365)</f>
        <v>42081</v>
      </c>
      <c r="D1229" s="18" t="s">
        <v>79</v>
      </c>
      <c r="E1229" s="18" t="s">
        <v>64</v>
      </c>
      <c r="F1229" s="21">
        <v>11664</v>
      </c>
    </row>
    <row r="1230" spans="2:6" x14ac:dyDescent="0.25">
      <c r="B1230" s="18" t="s">
        <v>31</v>
      </c>
      <c r="C1230" s="19">
        <f>40675+(3*365)</f>
        <v>41770</v>
      </c>
      <c r="D1230" s="18" t="s">
        <v>76</v>
      </c>
      <c r="E1230" s="18" t="s">
        <v>75</v>
      </c>
      <c r="F1230" s="21">
        <v>390</v>
      </c>
    </row>
    <row r="1231" spans="2:6" x14ac:dyDescent="0.25">
      <c r="B1231" s="18" t="s">
        <v>18</v>
      </c>
      <c r="C1231" s="19">
        <f>39977+(3*365)</f>
        <v>41072</v>
      </c>
      <c r="D1231" s="18" t="s">
        <v>68</v>
      </c>
      <c r="E1231" s="18" t="s">
        <v>63</v>
      </c>
      <c r="F1231" s="21">
        <v>504</v>
      </c>
    </row>
    <row r="1232" spans="2:6" x14ac:dyDescent="0.25">
      <c r="B1232" s="18" t="s">
        <v>10</v>
      </c>
      <c r="C1232" s="19">
        <f>40304+(3*365)</f>
        <v>41399</v>
      </c>
      <c r="D1232" s="18" t="s">
        <v>67</v>
      </c>
      <c r="E1232" s="18" t="s">
        <v>66</v>
      </c>
      <c r="F1232" s="21">
        <v>720</v>
      </c>
    </row>
    <row r="1233" spans="2:6" x14ac:dyDescent="0.25">
      <c r="B1233" s="18" t="s">
        <v>31</v>
      </c>
      <c r="C1233" s="19">
        <f>40819+(3*365)</f>
        <v>41914</v>
      </c>
      <c r="D1233" s="18" t="s">
        <v>76</v>
      </c>
      <c r="E1233" s="18" t="s">
        <v>66</v>
      </c>
      <c r="F1233" s="21">
        <v>1239</v>
      </c>
    </row>
    <row r="1234" spans="2:6" x14ac:dyDescent="0.25">
      <c r="B1234" s="18" t="s">
        <v>31</v>
      </c>
      <c r="C1234" s="19">
        <f>39876+(3*365)</f>
        <v>40971</v>
      </c>
      <c r="D1234" s="18" t="s">
        <v>70</v>
      </c>
      <c r="E1234" s="18" t="s">
        <v>66</v>
      </c>
      <c r="F1234" s="21">
        <v>210</v>
      </c>
    </row>
    <row r="1235" spans="2:6" x14ac:dyDescent="0.25">
      <c r="B1235" s="18" t="s">
        <v>9</v>
      </c>
      <c r="C1235" s="19">
        <f>40970+(3*365)</f>
        <v>42065</v>
      </c>
      <c r="D1235" s="18" t="s">
        <v>62</v>
      </c>
      <c r="E1235" s="18" t="s">
        <v>66</v>
      </c>
      <c r="F1235" s="21">
        <v>155</v>
      </c>
    </row>
    <row r="1236" spans="2:6" x14ac:dyDescent="0.25">
      <c r="B1236" s="18" t="s">
        <v>18</v>
      </c>
      <c r="C1236" s="19">
        <f>40865+(3*365)</f>
        <v>41960</v>
      </c>
      <c r="D1236" s="18" t="s">
        <v>68</v>
      </c>
      <c r="E1236" s="18" t="s">
        <v>63</v>
      </c>
      <c r="F1236" s="21">
        <v>768</v>
      </c>
    </row>
    <row r="1237" spans="2:6" x14ac:dyDescent="0.25">
      <c r="B1237" s="18" t="s">
        <v>31</v>
      </c>
      <c r="C1237" s="19">
        <f>40289+(3*365)</f>
        <v>41384</v>
      </c>
      <c r="D1237" s="18" t="s">
        <v>76</v>
      </c>
      <c r="E1237" s="18" t="s">
        <v>66</v>
      </c>
      <c r="F1237" s="21">
        <v>1350</v>
      </c>
    </row>
    <row r="1238" spans="2:6" x14ac:dyDescent="0.25">
      <c r="B1238" s="18" t="s">
        <v>25</v>
      </c>
      <c r="C1238" s="19">
        <f>40109+(3*365)</f>
        <v>41204</v>
      </c>
      <c r="D1238" s="18" t="s">
        <v>78</v>
      </c>
      <c r="E1238" s="18" t="s">
        <v>75</v>
      </c>
      <c r="F1238" s="21">
        <v>42</v>
      </c>
    </row>
    <row r="1239" spans="2:6" x14ac:dyDescent="0.25">
      <c r="B1239" s="18" t="s">
        <v>31</v>
      </c>
      <c r="C1239" s="19">
        <f>40008+(3*365)</f>
        <v>41103</v>
      </c>
      <c r="D1239" s="18" t="s">
        <v>70</v>
      </c>
      <c r="E1239" s="18" t="s">
        <v>66</v>
      </c>
      <c r="F1239" s="21">
        <v>585</v>
      </c>
    </row>
    <row r="1240" spans="2:6" x14ac:dyDescent="0.25">
      <c r="B1240" s="18" t="s">
        <v>8</v>
      </c>
      <c r="C1240" s="19">
        <f>40954+(3*365)</f>
        <v>42049</v>
      </c>
      <c r="D1240" s="18" t="s">
        <v>77</v>
      </c>
      <c r="E1240" s="18" t="s">
        <v>69</v>
      </c>
      <c r="F1240" s="21">
        <v>792</v>
      </c>
    </row>
    <row r="1241" spans="2:6" x14ac:dyDescent="0.25">
      <c r="B1241" s="18" t="s">
        <v>11</v>
      </c>
      <c r="C1241" s="19">
        <f>41231+(3*365)</f>
        <v>42326</v>
      </c>
      <c r="D1241" s="18" t="s">
        <v>74</v>
      </c>
      <c r="E1241" s="18" t="s">
        <v>63</v>
      </c>
      <c r="F1241" s="21">
        <v>1176</v>
      </c>
    </row>
    <row r="1242" spans="2:6" x14ac:dyDescent="0.25">
      <c r="B1242" s="18" t="s">
        <v>25</v>
      </c>
      <c r="C1242" s="19">
        <f>40548+(3*365)</f>
        <v>41643</v>
      </c>
      <c r="D1242" s="18" t="s">
        <v>78</v>
      </c>
      <c r="E1242" s="18" t="s">
        <v>63</v>
      </c>
      <c r="F1242" s="21">
        <v>656</v>
      </c>
    </row>
    <row r="1243" spans="2:6" x14ac:dyDescent="0.25">
      <c r="B1243" s="18" t="s">
        <v>25</v>
      </c>
      <c r="C1243" s="19">
        <f>39995+(3*365)</f>
        <v>41090</v>
      </c>
      <c r="D1243" s="18" t="s">
        <v>79</v>
      </c>
      <c r="E1243" s="18" t="s">
        <v>72</v>
      </c>
      <c r="F1243" s="21">
        <v>1674</v>
      </c>
    </row>
    <row r="1244" spans="2:6" x14ac:dyDescent="0.25">
      <c r="B1244" s="18" t="s">
        <v>8</v>
      </c>
      <c r="C1244" s="19">
        <f>40168+(3*365)</f>
        <v>41263</v>
      </c>
      <c r="D1244" s="18" t="s">
        <v>81</v>
      </c>
      <c r="E1244" s="18" t="s">
        <v>64</v>
      </c>
      <c r="F1244" s="21">
        <v>2652</v>
      </c>
    </row>
    <row r="1245" spans="2:6" x14ac:dyDescent="0.25">
      <c r="B1245" s="18" t="s">
        <v>10</v>
      </c>
      <c r="C1245" s="19">
        <f>41028+(3*365)</f>
        <v>42123</v>
      </c>
      <c r="D1245" s="18" t="s">
        <v>67</v>
      </c>
      <c r="E1245" s="18" t="s">
        <v>72</v>
      </c>
      <c r="F1245" s="21">
        <v>900</v>
      </c>
    </row>
    <row r="1246" spans="2:6" x14ac:dyDescent="0.25">
      <c r="B1246" s="18" t="s">
        <v>8</v>
      </c>
      <c r="C1246" s="19">
        <f>40587+(3*365)</f>
        <v>41682</v>
      </c>
      <c r="D1246" s="18" t="s">
        <v>77</v>
      </c>
      <c r="E1246" s="18" t="s">
        <v>69</v>
      </c>
      <c r="F1246" s="21">
        <v>4440</v>
      </c>
    </row>
    <row r="1247" spans="2:6" x14ac:dyDescent="0.25">
      <c r="B1247" s="18" t="s">
        <v>31</v>
      </c>
      <c r="C1247" s="19">
        <f>40199+(3*365)</f>
        <v>41294</v>
      </c>
      <c r="D1247" s="18" t="s">
        <v>70</v>
      </c>
      <c r="E1247" s="18" t="s">
        <v>64</v>
      </c>
      <c r="F1247" s="21">
        <v>3258</v>
      </c>
    </row>
    <row r="1248" spans="2:6" x14ac:dyDescent="0.25">
      <c r="B1248" s="18" t="s">
        <v>31</v>
      </c>
      <c r="C1248" s="19">
        <f>41059+(3*365)</f>
        <v>42154</v>
      </c>
      <c r="D1248" s="18" t="s">
        <v>70</v>
      </c>
      <c r="E1248" s="18" t="s">
        <v>69</v>
      </c>
      <c r="F1248" s="21">
        <v>2340</v>
      </c>
    </row>
    <row r="1249" spans="2:6" x14ac:dyDescent="0.25">
      <c r="B1249" s="18" t="s">
        <v>21</v>
      </c>
      <c r="C1249" s="19">
        <f>40969+(3*365)</f>
        <v>42064</v>
      </c>
      <c r="D1249" s="18" t="s">
        <v>73</v>
      </c>
      <c r="E1249" s="18" t="s">
        <v>63</v>
      </c>
      <c r="F1249" s="21">
        <v>660</v>
      </c>
    </row>
    <row r="1250" spans="2:6" x14ac:dyDescent="0.25">
      <c r="B1250" s="18" t="s">
        <v>10</v>
      </c>
      <c r="C1250" s="19">
        <f>39993+(3*365)</f>
        <v>41088</v>
      </c>
      <c r="D1250" s="18" t="s">
        <v>67</v>
      </c>
      <c r="E1250" s="18" t="s">
        <v>72</v>
      </c>
      <c r="F1250" s="21">
        <v>3460</v>
      </c>
    </row>
    <row r="1251" spans="2:6" x14ac:dyDescent="0.25">
      <c r="B1251" s="18" t="s">
        <v>10</v>
      </c>
      <c r="C1251" s="19">
        <f>40608+(3*365)</f>
        <v>41703</v>
      </c>
      <c r="D1251" s="18" t="s">
        <v>67</v>
      </c>
      <c r="E1251" s="18" t="s">
        <v>64</v>
      </c>
      <c r="F1251" s="21">
        <v>1734</v>
      </c>
    </row>
    <row r="1252" spans="2:6" x14ac:dyDescent="0.25">
      <c r="B1252" s="18" t="s">
        <v>21</v>
      </c>
      <c r="C1252" s="19">
        <f>40678+(3*365)</f>
        <v>41773</v>
      </c>
      <c r="D1252" s="18" t="s">
        <v>73</v>
      </c>
      <c r="E1252" s="18" t="s">
        <v>69</v>
      </c>
      <c r="F1252" s="21">
        <v>1584</v>
      </c>
    </row>
    <row r="1253" spans="2:6" x14ac:dyDescent="0.25">
      <c r="B1253" s="18" t="s">
        <v>11</v>
      </c>
      <c r="C1253" s="19">
        <f>39854+(3*365)</f>
        <v>40949</v>
      </c>
      <c r="D1253" s="18" t="s">
        <v>60</v>
      </c>
      <c r="E1253" s="18" t="s">
        <v>75</v>
      </c>
      <c r="F1253" s="21">
        <v>198</v>
      </c>
    </row>
    <row r="1254" spans="2:6" x14ac:dyDescent="0.25">
      <c r="B1254" s="18" t="s">
        <v>18</v>
      </c>
      <c r="C1254" s="19">
        <f>40404+(3*365)</f>
        <v>41499</v>
      </c>
      <c r="D1254" s="18" t="s">
        <v>71</v>
      </c>
      <c r="E1254" s="18" t="s">
        <v>64</v>
      </c>
      <c r="F1254" s="21">
        <v>6000</v>
      </c>
    </row>
    <row r="1255" spans="2:6" x14ac:dyDescent="0.25">
      <c r="B1255" s="18" t="s">
        <v>10</v>
      </c>
      <c r="C1255" s="19">
        <f>39884+(3*365)</f>
        <v>40979</v>
      </c>
      <c r="D1255" s="18" t="s">
        <v>67</v>
      </c>
      <c r="E1255" s="18" t="s">
        <v>66</v>
      </c>
      <c r="F1255" s="21">
        <v>720</v>
      </c>
    </row>
    <row r="1256" spans="2:6" x14ac:dyDescent="0.25">
      <c r="B1256" s="18" t="s">
        <v>21</v>
      </c>
      <c r="C1256" s="19">
        <f>40184+(3*365)</f>
        <v>41279</v>
      </c>
      <c r="D1256" s="18" t="s">
        <v>73</v>
      </c>
      <c r="E1256" s="18" t="s">
        <v>64</v>
      </c>
      <c r="F1256" s="21">
        <v>13500</v>
      </c>
    </row>
    <row r="1257" spans="2:6" x14ac:dyDescent="0.25">
      <c r="B1257" s="18" t="s">
        <v>21</v>
      </c>
      <c r="C1257" s="19">
        <f>41037+(3*365)</f>
        <v>42132</v>
      </c>
      <c r="D1257" s="18" t="s">
        <v>58</v>
      </c>
      <c r="E1257" s="18" t="s">
        <v>72</v>
      </c>
      <c r="F1257" s="21">
        <v>724</v>
      </c>
    </row>
    <row r="1258" spans="2:6" x14ac:dyDescent="0.25">
      <c r="B1258" s="18" t="s">
        <v>31</v>
      </c>
      <c r="C1258" s="19">
        <f>40337+(3*365)</f>
        <v>41432</v>
      </c>
      <c r="D1258" s="18" t="s">
        <v>76</v>
      </c>
      <c r="E1258" s="18" t="s">
        <v>75</v>
      </c>
      <c r="F1258" s="21">
        <v>360</v>
      </c>
    </row>
    <row r="1259" spans="2:6" x14ac:dyDescent="0.25">
      <c r="B1259" s="18" t="s">
        <v>9</v>
      </c>
      <c r="C1259" s="19">
        <f>40292+(3*365)</f>
        <v>41387</v>
      </c>
      <c r="D1259" s="18" t="s">
        <v>80</v>
      </c>
      <c r="E1259" s="18" t="s">
        <v>69</v>
      </c>
      <c r="F1259" s="21">
        <v>480</v>
      </c>
    </row>
    <row r="1260" spans="2:6" x14ac:dyDescent="0.25">
      <c r="B1260" s="18" t="s">
        <v>21</v>
      </c>
      <c r="C1260" s="19">
        <f>39822+(3*365)</f>
        <v>40917</v>
      </c>
      <c r="D1260" s="18" t="s">
        <v>73</v>
      </c>
      <c r="E1260" s="18" t="s">
        <v>59</v>
      </c>
      <c r="F1260" s="21">
        <v>22</v>
      </c>
    </row>
    <row r="1261" spans="2:6" x14ac:dyDescent="0.25">
      <c r="B1261" s="18" t="s">
        <v>8</v>
      </c>
      <c r="C1261" s="19">
        <f>40330+(3*365)</f>
        <v>41425</v>
      </c>
      <c r="D1261" s="18" t="s">
        <v>81</v>
      </c>
      <c r="E1261" s="18" t="s">
        <v>64</v>
      </c>
      <c r="F1261" s="21">
        <v>16992</v>
      </c>
    </row>
    <row r="1262" spans="2:6" x14ac:dyDescent="0.25">
      <c r="B1262" s="18" t="s">
        <v>31</v>
      </c>
      <c r="C1262" s="19">
        <f>41124+(3*365)</f>
        <v>42219</v>
      </c>
      <c r="D1262" s="18" t="s">
        <v>70</v>
      </c>
      <c r="E1262" s="18" t="s">
        <v>61</v>
      </c>
      <c r="F1262" s="21">
        <v>282</v>
      </c>
    </row>
    <row r="1263" spans="2:6" x14ac:dyDescent="0.25">
      <c r="B1263" s="18" t="s">
        <v>8</v>
      </c>
      <c r="C1263" s="19">
        <f>41189+(3*365)</f>
        <v>42284</v>
      </c>
      <c r="D1263" s="18" t="s">
        <v>81</v>
      </c>
      <c r="E1263" s="18" t="s">
        <v>66</v>
      </c>
      <c r="F1263" s="21">
        <v>1184</v>
      </c>
    </row>
    <row r="1264" spans="2:6" x14ac:dyDescent="0.25">
      <c r="B1264" s="18" t="s">
        <v>9</v>
      </c>
      <c r="C1264" s="19">
        <f>41047+(3*365)</f>
        <v>42142</v>
      </c>
      <c r="D1264" s="18" t="s">
        <v>62</v>
      </c>
      <c r="E1264" s="18" t="s">
        <v>66</v>
      </c>
      <c r="F1264" s="21">
        <v>288</v>
      </c>
    </row>
    <row r="1265" spans="2:6" x14ac:dyDescent="0.25">
      <c r="B1265" s="18" t="s">
        <v>8</v>
      </c>
      <c r="C1265" s="19">
        <f>39973+(3*365)</f>
        <v>41068</v>
      </c>
      <c r="D1265" s="18" t="s">
        <v>81</v>
      </c>
      <c r="E1265" s="18" t="s">
        <v>64</v>
      </c>
      <c r="F1265" s="21">
        <v>3456</v>
      </c>
    </row>
    <row r="1266" spans="2:6" x14ac:dyDescent="0.25">
      <c r="B1266" s="18" t="s">
        <v>8</v>
      </c>
      <c r="C1266" s="19">
        <f>40614+(3*365)</f>
        <v>41709</v>
      </c>
      <c r="D1266" s="18" t="s">
        <v>77</v>
      </c>
      <c r="E1266" s="18" t="s">
        <v>75</v>
      </c>
      <c r="F1266" s="21">
        <v>256</v>
      </c>
    </row>
    <row r="1267" spans="2:6" x14ac:dyDescent="0.25">
      <c r="B1267" s="18" t="s">
        <v>11</v>
      </c>
      <c r="C1267" s="19">
        <f>40683+(3*365)</f>
        <v>41778</v>
      </c>
      <c r="D1267" s="18" t="s">
        <v>74</v>
      </c>
      <c r="E1267" s="18" t="s">
        <v>61</v>
      </c>
      <c r="F1267" s="21">
        <v>612</v>
      </c>
    </row>
    <row r="1268" spans="2:6" x14ac:dyDescent="0.25">
      <c r="B1268" s="18" t="s">
        <v>18</v>
      </c>
      <c r="C1268" s="19">
        <f>40647+(3*365)</f>
        <v>41742</v>
      </c>
      <c r="D1268" s="18" t="s">
        <v>71</v>
      </c>
      <c r="E1268" s="18" t="s">
        <v>75</v>
      </c>
      <c r="F1268" s="21">
        <v>248</v>
      </c>
    </row>
    <row r="1269" spans="2:6" x14ac:dyDescent="0.25">
      <c r="B1269" s="18" t="s">
        <v>9</v>
      </c>
      <c r="C1269" s="19">
        <f>39924+(3*365)</f>
        <v>41019</v>
      </c>
      <c r="D1269" s="18" t="s">
        <v>62</v>
      </c>
      <c r="E1269" s="18" t="s">
        <v>64</v>
      </c>
      <c r="F1269" s="21">
        <v>1330</v>
      </c>
    </row>
    <row r="1270" spans="2:6" x14ac:dyDescent="0.25">
      <c r="B1270" s="18" t="s">
        <v>10</v>
      </c>
      <c r="C1270" s="19">
        <f>40199+(3*365)</f>
        <v>41294</v>
      </c>
      <c r="D1270" s="18" t="s">
        <v>67</v>
      </c>
      <c r="E1270" s="18" t="s">
        <v>69</v>
      </c>
      <c r="F1270" s="21">
        <v>1320</v>
      </c>
    </row>
    <row r="1271" spans="2:6" x14ac:dyDescent="0.25">
      <c r="B1271" s="18" t="s">
        <v>8</v>
      </c>
      <c r="C1271" s="19">
        <f>40173+(3*365)</f>
        <v>41268</v>
      </c>
      <c r="D1271" s="18" t="s">
        <v>81</v>
      </c>
      <c r="E1271" s="18" t="s">
        <v>75</v>
      </c>
      <c r="F1271" s="21">
        <v>570</v>
      </c>
    </row>
    <row r="1272" spans="2:6" x14ac:dyDescent="0.25">
      <c r="B1272" s="18" t="s">
        <v>10</v>
      </c>
      <c r="C1272" s="19">
        <f>40534+(3*365)</f>
        <v>41629</v>
      </c>
      <c r="D1272" s="18" t="s">
        <v>67</v>
      </c>
      <c r="E1272" s="18" t="s">
        <v>59</v>
      </c>
      <c r="F1272" s="21">
        <v>153</v>
      </c>
    </row>
    <row r="1273" spans="2:6" x14ac:dyDescent="0.25">
      <c r="B1273" s="18" t="s">
        <v>9</v>
      </c>
      <c r="C1273" s="19">
        <f>41123+(3*365)</f>
        <v>42218</v>
      </c>
      <c r="D1273" s="18" t="s">
        <v>80</v>
      </c>
      <c r="E1273" s="18" t="s">
        <v>64</v>
      </c>
      <c r="F1273" s="21">
        <v>2035</v>
      </c>
    </row>
    <row r="1274" spans="2:6" x14ac:dyDescent="0.25">
      <c r="B1274" s="18" t="s">
        <v>31</v>
      </c>
      <c r="C1274" s="19">
        <f>39883+(3*365)</f>
        <v>40978</v>
      </c>
      <c r="D1274" s="18" t="s">
        <v>76</v>
      </c>
      <c r="E1274" s="18" t="s">
        <v>61</v>
      </c>
      <c r="F1274" s="21">
        <v>936</v>
      </c>
    </row>
    <row r="1275" spans="2:6" x14ac:dyDescent="0.25">
      <c r="B1275" s="18" t="s">
        <v>10</v>
      </c>
      <c r="C1275" s="19">
        <f>40900+(3*365)</f>
        <v>41995</v>
      </c>
      <c r="D1275" s="18" t="s">
        <v>65</v>
      </c>
      <c r="E1275" s="18" t="s">
        <v>63</v>
      </c>
      <c r="F1275" s="21">
        <v>268</v>
      </c>
    </row>
    <row r="1276" spans="2:6" x14ac:dyDescent="0.25">
      <c r="B1276" s="18" t="s">
        <v>8</v>
      </c>
      <c r="C1276" s="19">
        <f>40021+(3*365)</f>
        <v>41116</v>
      </c>
      <c r="D1276" s="18" t="s">
        <v>81</v>
      </c>
      <c r="E1276" s="18" t="s">
        <v>72</v>
      </c>
      <c r="F1276" s="21">
        <v>1674</v>
      </c>
    </row>
    <row r="1277" spans="2:6" x14ac:dyDescent="0.25">
      <c r="B1277" s="18" t="s">
        <v>21</v>
      </c>
      <c r="C1277" s="19">
        <f>39855+(3*365)</f>
        <v>40950</v>
      </c>
      <c r="D1277" s="18" t="s">
        <v>58</v>
      </c>
      <c r="E1277" s="18" t="s">
        <v>61</v>
      </c>
      <c r="F1277" s="21">
        <v>79</v>
      </c>
    </row>
    <row r="1278" spans="2:6" x14ac:dyDescent="0.25">
      <c r="B1278" s="18" t="s">
        <v>8</v>
      </c>
      <c r="C1278" s="19">
        <f>40746+(3*365)</f>
        <v>41841</v>
      </c>
      <c r="D1278" s="18" t="s">
        <v>77</v>
      </c>
      <c r="E1278" s="18" t="s">
        <v>75</v>
      </c>
      <c r="F1278" s="21">
        <v>52</v>
      </c>
    </row>
    <row r="1279" spans="2:6" x14ac:dyDescent="0.25">
      <c r="B1279" s="18" t="s">
        <v>25</v>
      </c>
      <c r="C1279" s="19">
        <f>39987+(3*365)</f>
        <v>41082</v>
      </c>
      <c r="D1279" s="18" t="s">
        <v>78</v>
      </c>
      <c r="E1279" s="18" t="s">
        <v>66</v>
      </c>
      <c r="F1279" s="21">
        <v>1408</v>
      </c>
    </row>
    <row r="1280" spans="2:6" x14ac:dyDescent="0.25">
      <c r="B1280" s="18" t="s">
        <v>11</v>
      </c>
      <c r="C1280" s="19">
        <f>41003+(3*365)</f>
        <v>42098</v>
      </c>
      <c r="D1280" s="18" t="s">
        <v>60</v>
      </c>
      <c r="E1280" s="18" t="s">
        <v>66</v>
      </c>
      <c r="F1280" s="21">
        <v>1856</v>
      </c>
    </row>
    <row r="1281" spans="2:6" x14ac:dyDescent="0.25">
      <c r="B1281" s="18" t="s">
        <v>10</v>
      </c>
      <c r="C1281" s="19">
        <f>40295+(3*365)</f>
        <v>41390</v>
      </c>
      <c r="D1281" s="18" t="s">
        <v>67</v>
      </c>
      <c r="E1281" s="18" t="s">
        <v>64</v>
      </c>
      <c r="F1281" s="21">
        <v>11550</v>
      </c>
    </row>
    <row r="1282" spans="2:6" x14ac:dyDescent="0.25">
      <c r="B1282" s="18" t="s">
        <v>25</v>
      </c>
      <c r="C1282" s="19">
        <f>41123+(3*365)</f>
        <v>42218</v>
      </c>
      <c r="D1282" s="18" t="s">
        <v>79</v>
      </c>
      <c r="E1282" s="18" t="s">
        <v>63</v>
      </c>
      <c r="F1282" s="21">
        <v>138</v>
      </c>
    </row>
    <row r="1283" spans="2:6" x14ac:dyDescent="0.25">
      <c r="B1283" s="18" t="s">
        <v>11</v>
      </c>
      <c r="C1283" s="19">
        <f>40574+(3*365)</f>
        <v>41669</v>
      </c>
      <c r="D1283" s="18" t="s">
        <v>60</v>
      </c>
      <c r="E1283" s="18" t="s">
        <v>69</v>
      </c>
      <c r="F1283" s="21">
        <v>1680</v>
      </c>
    </row>
    <row r="1284" spans="2:6" x14ac:dyDescent="0.25">
      <c r="B1284" s="18" t="s">
        <v>21</v>
      </c>
      <c r="C1284" s="19">
        <f>40328+(3*365)</f>
        <v>41423</v>
      </c>
      <c r="D1284" s="18" t="s">
        <v>58</v>
      </c>
      <c r="E1284" s="18" t="s">
        <v>59</v>
      </c>
      <c r="F1284" s="21">
        <v>270</v>
      </c>
    </row>
    <row r="1285" spans="2:6" x14ac:dyDescent="0.25">
      <c r="B1285" s="18" t="s">
        <v>8</v>
      </c>
      <c r="C1285" s="19">
        <f>40999+(3*365)</f>
        <v>42094</v>
      </c>
      <c r="D1285" s="18" t="s">
        <v>81</v>
      </c>
      <c r="E1285" s="18" t="s">
        <v>75</v>
      </c>
      <c r="F1285" s="21">
        <v>256</v>
      </c>
    </row>
    <row r="1286" spans="2:6" x14ac:dyDescent="0.25">
      <c r="B1286" s="18" t="s">
        <v>31</v>
      </c>
      <c r="C1286" s="19">
        <f>40770+(3*365)</f>
        <v>41865</v>
      </c>
      <c r="D1286" s="18" t="s">
        <v>70</v>
      </c>
      <c r="E1286" s="18" t="s">
        <v>69</v>
      </c>
      <c r="F1286" s="21">
        <v>1992</v>
      </c>
    </row>
    <row r="1287" spans="2:6" x14ac:dyDescent="0.25">
      <c r="B1287" s="18" t="s">
        <v>11</v>
      </c>
      <c r="C1287" s="19">
        <f>40382+(3*365)</f>
        <v>41477</v>
      </c>
      <c r="D1287" s="18" t="s">
        <v>74</v>
      </c>
      <c r="E1287" s="18" t="s">
        <v>59</v>
      </c>
      <c r="F1287" s="21">
        <v>252</v>
      </c>
    </row>
    <row r="1288" spans="2:6" x14ac:dyDescent="0.25">
      <c r="B1288" s="18" t="s">
        <v>11</v>
      </c>
      <c r="C1288" s="19">
        <f>41207+(3*365)</f>
        <v>42302</v>
      </c>
      <c r="D1288" s="18" t="s">
        <v>74</v>
      </c>
      <c r="E1288" s="18" t="s">
        <v>75</v>
      </c>
      <c r="F1288" s="21">
        <v>1064</v>
      </c>
    </row>
    <row r="1289" spans="2:6" x14ac:dyDescent="0.25">
      <c r="B1289" s="18" t="s">
        <v>25</v>
      </c>
      <c r="C1289" s="19">
        <f>40674+(3*365)</f>
        <v>41769</v>
      </c>
      <c r="D1289" s="18" t="s">
        <v>78</v>
      </c>
      <c r="E1289" s="18" t="s">
        <v>63</v>
      </c>
      <c r="F1289" s="21">
        <v>720</v>
      </c>
    </row>
    <row r="1290" spans="2:6" x14ac:dyDescent="0.25">
      <c r="B1290" s="18" t="s">
        <v>18</v>
      </c>
      <c r="C1290" s="19">
        <f>39847+(3*365)</f>
        <v>40942</v>
      </c>
      <c r="D1290" s="18" t="s">
        <v>71</v>
      </c>
      <c r="E1290" s="18" t="s">
        <v>61</v>
      </c>
      <c r="F1290" s="21">
        <v>420</v>
      </c>
    </row>
    <row r="1291" spans="2:6" x14ac:dyDescent="0.25">
      <c r="B1291" s="18" t="s">
        <v>21</v>
      </c>
      <c r="C1291" s="19">
        <f>40578+(3*365)</f>
        <v>41673</v>
      </c>
      <c r="D1291" s="18" t="s">
        <v>58</v>
      </c>
      <c r="E1291" s="18" t="s">
        <v>64</v>
      </c>
      <c r="F1291" s="21">
        <v>4656</v>
      </c>
    </row>
    <row r="1292" spans="2:6" x14ac:dyDescent="0.25">
      <c r="B1292" s="18" t="s">
        <v>9</v>
      </c>
      <c r="C1292" s="19">
        <f>40666+(3*365)</f>
        <v>41761</v>
      </c>
      <c r="D1292" s="18" t="s">
        <v>80</v>
      </c>
      <c r="E1292" s="18" t="s">
        <v>66</v>
      </c>
      <c r="F1292" s="21">
        <v>594</v>
      </c>
    </row>
    <row r="1293" spans="2:6" x14ac:dyDescent="0.25">
      <c r="B1293" s="18" t="s">
        <v>21</v>
      </c>
      <c r="C1293" s="19">
        <f>39947+(3*365)</f>
        <v>41042</v>
      </c>
      <c r="D1293" s="18" t="s">
        <v>73</v>
      </c>
      <c r="E1293" s="18" t="s">
        <v>61</v>
      </c>
      <c r="F1293" s="21">
        <v>48</v>
      </c>
    </row>
    <row r="1294" spans="2:6" x14ac:dyDescent="0.25">
      <c r="B1294" s="18" t="s">
        <v>18</v>
      </c>
      <c r="C1294" s="19">
        <f>40024+(3*365)</f>
        <v>41119</v>
      </c>
      <c r="D1294" s="18" t="s">
        <v>71</v>
      </c>
      <c r="E1294" s="18" t="s">
        <v>72</v>
      </c>
      <c r="F1294" s="21">
        <v>372</v>
      </c>
    </row>
    <row r="1295" spans="2:6" x14ac:dyDescent="0.25">
      <c r="B1295" s="18" t="s">
        <v>31</v>
      </c>
      <c r="C1295" s="19">
        <f>40405+(3*365)</f>
        <v>41500</v>
      </c>
      <c r="D1295" s="18" t="s">
        <v>70</v>
      </c>
      <c r="E1295" s="18" t="s">
        <v>69</v>
      </c>
      <c r="F1295" s="21">
        <v>2286</v>
      </c>
    </row>
    <row r="1296" spans="2:6" x14ac:dyDescent="0.25">
      <c r="B1296" s="18" t="s">
        <v>21</v>
      </c>
      <c r="C1296" s="19">
        <f>40156+(3*365)</f>
        <v>41251</v>
      </c>
      <c r="D1296" s="18" t="s">
        <v>73</v>
      </c>
      <c r="E1296" s="18" t="s">
        <v>72</v>
      </c>
      <c r="F1296" s="21">
        <v>208</v>
      </c>
    </row>
    <row r="1297" spans="2:6" x14ac:dyDescent="0.25">
      <c r="B1297" s="18" t="s">
        <v>31</v>
      </c>
      <c r="C1297" s="19">
        <f>39874+(3*365)</f>
        <v>40969</v>
      </c>
      <c r="D1297" s="18" t="s">
        <v>76</v>
      </c>
      <c r="E1297" s="18" t="s">
        <v>69</v>
      </c>
      <c r="F1297" s="21">
        <v>654</v>
      </c>
    </row>
    <row r="1298" spans="2:6" x14ac:dyDescent="0.25">
      <c r="B1298" s="18" t="s">
        <v>31</v>
      </c>
      <c r="C1298" s="19">
        <f>41009+(3*365)</f>
        <v>42104</v>
      </c>
      <c r="D1298" s="18" t="s">
        <v>70</v>
      </c>
      <c r="E1298" s="18" t="s">
        <v>64</v>
      </c>
      <c r="F1298" s="21">
        <v>13356</v>
      </c>
    </row>
    <row r="1299" spans="2:6" x14ac:dyDescent="0.25">
      <c r="B1299" s="18" t="s">
        <v>21</v>
      </c>
      <c r="C1299" s="19">
        <f>40022+(3*365)</f>
        <v>41117</v>
      </c>
      <c r="D1299" s="18" t="s">
        <v>58</v>
      </c>
      <c r="E1299" s="18" t="s">
        <v>63</v>
      </c>
      <c r="F1299" s="21">
        <v>243</v>
      </c>
    </row>
    <row r="1300" spans="2:6" x14ac:dyDescent="0.25">
      <c r="B1300" s="18" t="s">
        <v>11</v>
      </c>
      <c r="C1300" s="19">
        <f>40797+(3*365)</f>
        <v>41892</v>
      </c>
      <c r="D1300" s="18" t="s">
        <v>74</v>
      </c>
      <c r="E1300" s="18" t="s">
        <v>63</v>
      </c>
      <c r="F1300" s="21">
        <v>1218</v>
      </c>
    </row>
    <row r="1301" spans="2:6" x14ac:dyDescent="0.25">
      <c r="B1301" s="18" t="s">
        <v>25</v>
      </c>
      <c r="C1301" s="19">
        <f>40687+(3*365)</f>
        <v>41782</v>
      </c>
      <c r="D1301" s="18" t="s">
        <v>78</v>
      </c>
      <c r="E1301" s="18" t="s">
        <v>59</v>
      </c>
      <c r="F1301" s="21">
        <v>616</v>
      </c>
    </row>
    <row r="1302" spans="2:6" x14ac:dyDescent="0.25">
      <c r="B1302" s="18" t="s">
        <v>25</v>
      </c>
      <c r="C1302" s="19">
        <f>41027+(3*365)</f>
        <v>42122</v>
      </c>
      <c r="D1302" s="18" t="s">
        <v>78</v>
      </c>
      <c r="E1302" s="18" t="s">
        <v>59</v>
      </c>
      <c r="F1302" s="21">
        <v>70</v>
      </c>
    </row>
    <row r="1303" spans="2:6" x14ac:dyDescent="0.25">
      <c r="B1303" s="18" t="s">
        <v>11</v>
      </c>
      <c r="C1303" s="19">
        <f>40658+(3*365)</f>
        <v>41753</v>
      </c>
      <c r="D1303" s="18" t="s">
        <v>74</v>
      </c>
      <c r="E1303" s="18" t="s">
        <v>72</v>
      </c>
      <c r="F1303" s="21">
        <v>1737</v>
      </c>
    </row>
    <row r="1304" spans="2:6" x14ac:dyDescent="0.25">
      <c r="B1304" s="18" t="s">
        <v>9</v>
      </c>
      <c r="C1304" s="19">
        <f>41190+(3*365)</f>
        <v>42285</v>
      </c>
      <c r="D1304" s="18" t="s">
        <v>62</v>
      </c>
      <c r="E1304" s="18" t="s">
        <v>75</v>
      </c>
      <c r="F1304" s="21">
        <v>75</v>
      </c>
    </row>
    <row r="1305" spans="2:6" x14ac:dyDescent="0.25">
      <c r="B1305" s="18" t="s">
        <v>10</v>
      </c>
      <c r="C1305" s="19">
        <f>40790+(3*365)</f>
        <v>41885</v>
      </c>
      <c r="D1305" s="18" t="s">
        <v>67</v>
      </c>
      <c r="E1305" s="18" t="s">
        <v>66</v>
      </c>
      <c r="F1305" s="21">
        <v>504</v>
      </c>
    </row>
    <row r="1306" spans="2:6" x14ac:dyDescent="0.25">
      <c r="B1306" s="18" t="s">
        <v>11</v>
      </c>
      <c r="C1306" s="19">
        <f>40713+(3*365)</f>
        <v>41808</v>
      </c>
      <c r="D1306" s="18" t="s">
        <v>60</v>
      </c>
      <c r="E1306" s="18" t="s">
        <v>72</v>
      </c>
      <c r="F1306" s="21">
        <v>1200</v>
      </c>
    </row>
    <row r="1307" spans="2:6" x14ac:dyDescent="0.25">
      <c r="B1307" s="18" t="s">
        <v>10</v>
      </c>
      <c r="C1307" s="19">
        <f>39940+(3*365)</f>
        <v>41035</v>
      </c>
      <c r="D1307" s="18" t="s">
        <v>67</v>
      </c>
      <c r="E1307" s="18" t="s">
        <v>63</v>
      </c>
      <c r="F1307" s="21">
        <v>464</v>
      </c>
    </row>
    <row r="1308" spans="2:6" x14ac:dyDescent="0.25">
      <c r="B1308" s="18" t="s">
        <v>8</v>
      </c>
      <c r="C1308" s="19">
        <f>41237+(3*365)</f>
        <v>42332</v>
      </c>
      <c r="D1308" s="18" t="s">
        <v>81</v>
      </c>
      <c r="E1308" s="18" t="s">
        <v>66</v>
      </c>
      <c r="F1308" s="21">
        <v>640</v>
      </c>
    </row>
    <row r="1309" spans="2:6" x14ac:dyDescent="0.25">
      <c r="B1309" s="18" t="s">
        <v>11</v>
      </c>
      <c r="C1309" s="19">
        <f>40697+(3*365)</f>
        <v>41792</v>
      </c>
      <c r="D1309" s="18" t="s">
        <v>60</v>
      </c>
      <c r="E1309" s="18" t="s">
        <v>66</v>
      </c>
      <c r="F1309" s="21">
        <v>156</v>
      </c>
    </row>
    <row r="1310" spans="2:6" x14ac:dyDescent="0.25">
      <c r="B1310" s="18" t="s">
        <v>8</v>
      </c>
      <c r="C1310" s="19">
        <f>41179+(3*365)</f>
        <v>42274</v>
      </c>
      <c r="D1310" s="18" t="s">
        <v>81</v>
      </c>
      <c r="E1310" s="18" t="s">
        <v>64</v>
      </c>
      <c r="F1310" s="21">
        <v>6368</v>
      </c>
    </row>
    <row r="1311" spans="2:6" x14ac:dyDescent="0.25">
      <c r="B1311" s="18" t="s">
        <v>8</v>
      </c>
      <c r="C1311" s="19">
        <f>40728+(3*365)</f>
        <v>41823</v>
      </c>
      <c r="D1311" s="18" t="s">
        <v>77</v>
      </c>
      <c r="E1311" s="18" t="s">
        <v>69</v>
      </c>
      <c r="F1311" s="21">
        <v>1400</v>
      </c>
    </row>
    <row r="1312" spans="2:6" x14ac:dyDescent="0.25">
      <c r="B1312" s="18" t="s">
        <v>10</v>
      </c>
      <c r="C1312" s="19">
        <f>41146+(3*365)</f>
        <v>42241</v>
      </c>
      <c r="D1312" s="18" t="s">
        <v>65</v>
      </c>
      <c r="E1312" s="18" t="s">
        <v>59</v>
      </c>
      <c r="F1312" s="21">
        <v>288</v>
      </c>
    </row>
    <row r="1313" spans="2:6" x14ac:dyDescent="0.25">
      <c r="B1313" s="18" t="s">
        <v>8</v>
      </c>
      <c r="C1313" s="19">
        <f>40316+(3*365)</f>
        <v>41411</v>
      </c>
      <c r="D1313" s="18" t="s">
        <v>77</v>
      </c>
      <c r="E1313" s="18" t="s">
        <v>72</v>
      </c>
      <c r="F1313" s="21">
        <v>1120</v>
      </c>
    </row>
    <row r="1314" spans="2:6" x14ac:dyDescent="0.25">
      <c r="B1314" s="18" t="s">
        <v>31</v>
      </c>
      <c r="C1314" s="19">
        <f>40598+(3*365)</f>
        <v>41693</v>
      </c>
      <c r="D1314" s="18" t="s">
        <v>70</v>
      </c>
      <c r="E1314" s="18" t="s">
        <v>72</v>
      </c>
      <c r="F1314" s="21">
        <v>1944</v>
      </c>
    </row>
    <row r="1315" spans="2:6" x14ac:dyDescent="0.25">
      <c r="B1315" s="18" t="s">
        <v>8</v>
      </c>
      <c r="C1315" s="19">
        <f>40074+(3*365)</f>
        <v>41169</v>
      </c>
      <c r="D1315" s="18" t="s">
        <v>81</v>
      </c>
      <c r="E1315" s="18" t="s">
        <v>75</v>
      </c>
      <c r="F1315" s="21">
        <v>462</v>
      </c>
    </row>
    <row r="1316" spans="2:6" x14ac:dyDescent="0.25">
      <c r="B1316" s="18" t="s">
        <v>31</v>
      </c>
      <c r="C1316" s="19">
        <f>40365+(3*365)</f>
        <v>41460</v>
      </c>
      <c r="D1316" s="18" t="s">
        <v>70</v>
      </c>
      <c r="E1316" s="18" t="s">
        <v>66</v>
      </c>
      <c r="F1316" s="21">
        <v>777</v>
      </c>
    </row>
    <row r="1317" spans="2:6" x14ac:dyDescent="0.25">
      <c r="B1317" s="18" t="s">
        <v>8</v>
      </c>
      <c r="C1317" s="19">
        <f>41260+(3*365)</f>
        <v>42355</v>
      </c>
      <c r="D1317" s="18" t="s">
        <v>81</v>
      </c>
      <c r="E1317" s="18" t="s">
        <v>64</v>
      </c>
      <c r="F1317" s="21">
        <v>10388</v>
      </c>
    </row>
    <row r="1318" spans="2:6" x14ac:dyDescent="0.25">
      <c r="B1318" s="18" t="s">
        <v>31</v>
      </c>
      <c r="C1318" s="19">
        <f>40333+(3*365)</f>
        <v>41428</v>
      </c>
      <c r="D1318" s="18" t="s">
        <v>76</v>
      </c>
      <c r="E1318" s="18" t="s">
        <v>66</v>
      </c>
      <c r="F1318" s="21">
        <v>1239</v>
      </c>
    </row>
    <row r="1319" spans="2:6" x14ac:dyDescent="0.25">
      <c r="B1319" s="18" t="s">
        <v>11</v>
      </c>
      <c r="C1319" s="19">
        <f>40365+(3*365)</f>
        <v>41460</v>
      </c>
      <c r="D1319" s="18" t="s">
        <v>60</v>
      </c>
      <c r="E1319" s="18" t="s">
        <v>59</v>
      </c>
      <c r="F1319" s="21">
        <v>735</v>
      </c>
    </row>
    <row r="1320" spans="2:6" x14ac:dyDescent="0.25">
      <c r="B1320" s="18" t="s">
        <v>11</v>
      </c>
      <c r="C1320" s="19">
        <f>40499+(3*365)</f>
        <v>41594</v>
      </c>
      <c r="D1320" s="18" t="s">
        <v>74</v>
      </c>
      <c r="E1320" s="18" t="s">
        <v>69</v>
      </c>
      <c r="F1320" s="21">
        <v>282</v>
      </c>
    </row>
    <row r="1321" spans="2:6" x14ac:dyDescent="0.25">
      <c r="B1321" s="18" t="s">
        <v>10</v>
      </c>
      <c r="C1321" s="19">
        <f>40563+(3*365)</f>
        <v>41658</v>
      </c>
      <c r="D1321" s="18" t="s">
        <v>65</v>
      </c>
      <c r="E1321" s="18" t="s">
        <v>63</v>
      </c>
      <c r="F1321" s="21">
        <v>258</v>
      </c>
    </row>
    <row r="1322" spans="2:6" x14ac:dyDescent="0.25">
      <c r="B1322" s="18" t="s">
        <v>11</v>
      </c>
      <c r="C1322" s="19">
        <f>40079+(3*365)</f>
        <v>41174</v>
      </c>
      <c r="D1322" s="18" t="s">
        <v>60</v>
      </c>
      <c r="E1322" s="18" t="s">
        <v>66</v>
      </c>
      <c r="F1322" s="21">
        <v>1494</v>
      </c>
    </row>
    <row r="1323" spans="2:6" x14ac:dyDescent="0.25">
      <c r="B1323" s="18" t="s">
        <v>31</v>
      </c>
      <c r="C1323" s="19">
        <f>40663+(3*365)</f>
        <v>41758</v>
      </c>
      <c r="D1323" s="18" t="s">
        <v>76</v>
      </c>
      <c r="E1323" s="18" t="s">
        <v>75</v>
      </c>
      <c r="F1323" s="21">
        <v>945</v>
      </c>
    </row>
    <row r="1324" spans="2:6" x14ac:dyDescent="0.25">
      <c r="B1324" s="18" t="s">
        <v>10</v>
      </c>
      <c r="C1324" s="19">
        <f>40054+(3*365)</f>
        <v>41149</v>
      </c>
      <c r="D1324" s="18" t="s">
        <v>65</v>
      </c>
      <c r="E1324" s="18" t="s">
        <v>59</v>
      </c>
      <c r="F1324" s="21">
        <v>576</v>
      </c>
    </row>
    <row r="1325" spans="2:6" x14ac:dyDescent="0.25">
      <c r="B1325" s="18" t="s">
        <v>18</v>
      </c>
      <c r="C1325" s="19">
        <f>40134+(3*365)</f>
        <v>41229</v>
      </c>
      <c r="D1325" s="18" t="s">
        <v>68</v>
      </c>
      <c r="E1325" s="18" t="s">
        <v>59</v>
      </c>
      <c r="F1325" s="21">
        <v>208</v>
      </c>
    </row>
    <row r="1326" spans="2:6" x14ac:dyDescent="0.25">
      <c r="B1326" s="18" t="s">
        <v>31</v>
      </c>
      <c r="C1326" s="19">
        <f>40539+(3*365)</f>
        <v>41634</v>
      </c>
      <c r="D1326" s="18" t="s">
        <v>76</v>
      </c>
      <c r="E1326" s="18" t="s">
        <v>66</v>
      </c>
      <c r="F1326" s="21">
        <v>102</v>
      </c>
    </row>
    <row r="1327" spans="2:6" x14ac:dyDescent="0.25">
      <c r="B1327" s="18" t="s">
        <v>21</v>
      </c>
      <c r="C1327" s="19">
        <f>41259+(3*365)</f>
        <v>42354</v>
      </c>
      <c r="D1327" s="18" t="s">
        <v>58</v>
      </c>
      <c r="E1327" s="18" t="s">
        <v>72</v>
      </c>
      <c r="F1327" s="21">
        <v>5800</v>
      </c>
    </row>
    <row r="1328" spans="2:6" x14ac:dyDescent="0.25">
      <c r="B1328" s="18" t="s">
        <v>21</v>
      </c>
      <c r="C1328" s="19">
        <f>40222+(3*365)</f>
        <v>41317</v>
      </c>
      <c r="D1328" s="18" t="s">
        <v>58</v>
      </c>
      <c r="E1328" s="18" t="s">
        <v>63</v>
      </c>
      <c r="F1328" s="21">
        <v>650</v>
      </c>
    </row>
    <row r="1329" spans="2:6" x14ac:dyDescent="0.25">
      <c r="B1329" s="18" t="s">
        <v>10</v>
      </c>
      <c r="C1329" s="19">
        <f>40684+(3*365)</f>
        <v>41779</v>
      </c>
      <c r="D1329" s="18" t="s">
        <v>65</v>
      </c>
      <c r="E1329" s="18" t="s">
        <v>75</v>
      </c>
      <c r="F1329" s="21">
        <v>240</v>
      </c>
    </row>
    <row r="1330" spans="2:6" x14ac:dyDescent="0.25">
      <c r="B1330" s="18" t="s">
        <v>8</v>
      </c>
      <c r="C1330" s="19">
        <f>40581+(3*365)</f>
        <v>41676</v>
      </c>
      <c r="D1330" s="18" t="s">
        <v>81</v>
      </c>
      <c r="E1330" s="18" t="s">
        <v>59</v>
      </c>
      <c r="F1330" s="21">
        <v>416</v>
      </c>
    </row>
    <row r="1331" spans="2:6" x14ac:dyDescent="0.25">
      <c r="B1331" s="18" t="s">
        <v>18</v>
      </c>
      <c r="C1331" s="19">
        <f>40893+(3*365)</f>
        <v>41988</v>
      </c>
      <c r="D1331" s="18" t="s">
        <v>68</v>
      </c>
      <c r="E1331" s="18" t="s">
        <v>66</v>
      </c>
      <c r="F1331" s="21">
        <v>1392</v>
      </c>
    </row>
    <row r="1332" spans="2:6" x14ac:dyDescent="0.25">
      <c r="B1332" s="18" t="s">
        <v>21</v>
      </c>
      <c r="C1332" s="19">
        <f>40608+(3*365)</f>
        <v>41703</v>
      </c>
      <c r="D1332" s="18" t="s">
        <v>58</v>
      </c>
      <c r="E1332" s="18" t="s">
        <v>69</v>
      </c>
      <c r="F1332" s="21">
        <v>549</v>
      </c>
    </row>
    <row r="1333" spans="2:6" x14ac:dyDescent="0.25">
      <c r="B1333" s="18" t="s">
        <v>8</v>
      </c>
      <c r="C1333" s="19">
        <f>40482+(3*365)</f>
        <v>41577</v>
      </c>
      <c r="D1333" s="18" t="s">
        <v>81</v>
      </c>
      <c r="E1333" s="18" t="s">
        <v>64</v>
      </c>
      <c r="F1333" s="21">
        <v>20736</v>
      </c>
    </row>
    <row r="1334" spans="2:6" x14ac:dyDescent="0.25">
      <c r="B1334" s="18" t="s">
        <v>11</v>
      </c>
      <c r="C1334" s="19">
        <f>39872+(3*365)</f>
        <v>40967</v>
      </c>
      <c r="D1334" s="18" t="s">
        <v>74</v>
      </c>
      <c r="E1334" s="18" t="s">
        <v>69</v>
      </c>
      <c r="F1334" s="21">
        <v>4392</v>
      </c>
    </row>
    <row r="1335" spans="2:6" x14ac:dyDescent="0.25">
      <c r="B1335" s="18" t="s">
        <v>9</v>
      </c>
      <c r="C1335" s="19">
        <f>40400+(3*365)</f>
        <v>41495</v>
      </c>
      <c r="D1335" s="18" t="s">
        <v>80</v>
      </c>
      <c r="E1335" s="18" t="s">
        <v>64</v>
      </c>
      <c r="F1335" s="21">
        <v>4464</v>
      </c>
    </row>
    <row r="1336" spans="2:6" x14ac:dyDescent="0.25">
      <c r="B1336" s="18" t="s">
        <v>10</v>
      </c>
      <c r="C1336" s="19">
        <f>41263+(3*365)</f>
        <v>42358</v>
      </c>
      <c r="D1336" s="18" t="s">
        <v>67</v>
      </c>
      <c r="E1336" s="18" t="s">
        <v>63</v>
      </c>
      <c r="F1336" s="21">
        <v>603</v>
      </c>
    </row>
    <row r="1337" spans="2:6" x14ac:dyDescent="0.25">
      <c r="B1337" s="18" t="s">
        <v>18</v>
      </c>
      <c r="C1337" s="19">
        <f>41074+(3*365)</f>
        <v>42169</v>
      </c>
      <c r="D1337" s="18" t="s">
        <v>71</v>
      </c>
      <c r="E1337" s="18" t="s">
        <v>66</v>
      </c>
      <c r="F1337" s="21">
        <v>972</v>
      </c>
    </row>
    <row r="1338" spans="2:6" x14ac:dyDescent="0.25">
      <c r="B1338" s="18" t="s">
        <v>9</v>
      </c>
      <c r="C1338" s="19">
        <f>39924+(3*365)</f>
        <v>41019</v>
      </c>
      <c r="D1338" s="18" t="s">
        <v>62</v>
      </c>
      <c r="E1338" s="18" t="s">
        <v>66</v>
      </c>
      <c r="F1338" s="21">
        <v>810</v>
      </c>
    </row>
    <row r="1339" spans="2:6" x14ac:dyDescent="0.25">
      <c r="B1339" s="18" t="s">
        <v>21</v>
      </c>
      <c r="C1339" s="19">
        <f>40170+(3*365)</f>
        <v>41265</v>
      </c>
      <c r="D1339" s="18" t="s">
        <v>58</v>
      </c>
      <c r="E1339" s="18" t="s">
        <v>59</v>
      </c>
      <c r="F1339" s="21">
        <v>182</v>
      </c>
    </row>
    <row r="1340" spans="2:6" x14ac:dyDescent="0.25">
      <c r="B1340" s="18" t="s">
        <v>10</v>
      </c>
      <c r="C1340" s="19">
        <f>41085+(3*365)</f>
        <v>42180</v>
      </c>
      <c r="D1340" s="18" t="s">
        <v>65</v>
      </c>
      <c r="E1340" s="18" t="s">
        <v>66</v>
      </c>
      <c r="F1340" s="21">
        <v>456</v>
      </c>
    </row>
    <row r="1341" spans="2:6" x14ac:dyDescent="0.25">
      <c r="B1341" s="18" t="s">
        <v>11</v>
      </c>
      <c r="C1341" s="19">
        <f>40838+(3*365)</f>
        <v>41933</v>
      </c>
      <c r="D1341" s="18" t="s">
        <v>60</v>
      </c>
      <c r="E1341" s="18" t="s">
        <v>63</v>
      </c>
      <c r="F1341" s="21">
        <v>1071</v>
      </c>
    </row>
    <row r="1342" spans="2:6" x14ac:dyDescent="0.25">
      <c r="B1342" s="18" t="s">
        <v>21</v>
      </c>
      <c r="C1342" s="19">
        <f>40052+(3*365)</f>
        <v>41147</v>
      </c>
      <c r="D1342" s="18" t="s">
        <v>73</v>
      </c>
      <c r="E1342" s="18" t="s">
        <v>66</v>
      </c>
      <c r="F1342" s="21">
        <v>212</v>
      </c>
    </row>
    <row r="1343" spans="2:6" x14ac:dyDescent="0.25">
      <c r="B1343" s="18" t="s">
        <v>18</v>
      </c>
      <c r="C1343" s="19">
        <f>39930+(3*365)</f>
        <v>41025</v>
      </c>
      <c r="D1343" s="18" t="s">
        <v>68</v>
      </c>
      <c r="E1343" s="18" t="s">
        <v>75</v>
      </c>
      <c r="F1343" s="21">
        <v>372</v>
      </c>
    </row>
    <row r="1344" spans="2:6" x14ac:dyDescent="0.25">
      <c r="B1344" s="18" t="s">
        <v>31</v>
      </c>
      <c r="C1344" s="19">
        <f>40566+(3*365)</f>
        <v>41661</v>
      </c>
      <c r="D1344" s="18" t="s">
        <v>76</v>
      </c>
      <c r="E1344" s="18" t="s">
        <v>64</v>
      </c>
      <c r="F1344" s="21">
        <v>15687</v>
      </c>
    </row>
    <row r="1345" spans="2:6" x14ac:dyDescent="0.25">
      <c r="B1345" s="18" t="s">
        <v>8</v>
      </c>
      <c r="C1345" s="19">
        <f>39973+(3*365)</f>
        <v>41068</v>
      </c>
      <c r="D1345" s="18" t="s">
        <v>77</v>
      </c>
      <c r="E1345" s="18" t="s">
        <v>63</v>
      </c>
      <c r="F1345" s="21">
        <v>480</v>
      </c>
    </row>
    <row r="1346" spans="2:6" x14ac:dyDescent="0.25">
      <c r="B1346" s="18" t="s">
        <v>9</v>
      </c>
      <c r="C1346" s="19">
        <f>41010+(3*365)</f>
        <v>42105</v>
      </c>
      <c r="D1346" s="18" t="s">
        <v>62</v>
      </c>
      <c r="E1346" s="18" t="s">
        <v>69</v>
      </c>
      <c r="F1346" s="21">
        <v>113</v>
      </c>
    </row>
    <row r="1347" spans="2:6" x14ac:dyDescent="0.25">
      <c r="B1347" s="18" t="s">
        <v>25</v>
      </c>
      <c r="C1347" s="19">
        <f>40516+(3*365)</f>
        <v>41611</v>
      </c>
      <c r="D1347" s="18" t="s">
        <v>79</v>
      </c>
      <c r="E1347" s="18" t="s">
        <v>69</v>
      </c>
      <c r="F1347" s="21">
        <v>2772</v>
      </c>
    </row>
    <row r="1348" spans="2:6" x14ac:dyDescent="0.25">
      <c r="B1348" s="18" t="s">
        <v>10</v>
      </c>
      <c r="C1348" s="19">
        <f>41254+(3*365)</f>
        <v>42349</v>
      </c>
      <c r="D1348" s="18" t="s">
        <v>67</v>
      </c>
      <c r="E1348" s="18" t="s">
        <v>64</v>
      </c>
      <c r="F1348" s="21">
        <v>7686</v>
      </c>
    </row>
    <row r="1349" spans="2:6" x14ac:dyDescent="0.25">
      <c r="B1349" s="18" t="s">
        <v>25</v>
      </c>
      <c r="C1349" s="19">
        <f>41260+(3*365)</f>
        <v>42355</v>
      </c>
      <c r="D1349" s="18" t="s">
        <v>78</v>
      </c>
      <c r="E1349" s="18" t="s">
        <v>66</v>
      </c>
      <c r="F1349" s="21">
        <v>324</v>
      </c>
    </row>
    <row r="1350" spans="2:6" x14ac:dyDescent="0.25">
      <c r="B1350" s="18" t="s">
        <v>8</v>
      </c>
      <c r="C1350" s="19">
        <f>40248+(3*365)</f>
        <v>41343</v>
      </c>
      <c r="D1350" s="18" t="s">
        <v>77</v>
      </c>
      <c r="E1350" s="18" t="s">
        <v>66</v>
      </c>
      <c r="F1350" s="21">
        <v>1044</v>
      </c>
    </row>
    <row r="1351" spans="2:6" x14ac:dyDescent="0.25">
      <c r="B1351" s="18" t="s">
        <v>18</v>
      </c>
      <c r="C1351" s="19">
        <f>40726+(3*365)</f>
        <v>41821</v>
      </c>
      <c r="D1351" s="18" t="s">
        <v>71</v>
      </c>
      <c r="E1351" s="18" t="s">
        <v>59</v>
      </c>
      <c r="F1351" s="21">
        <v>672</v>
      </c>
    </row>
    <row r="1352" spans="2:6" x14ac:dyDescent="0.25">
      <c r="B1352" s="18" t="s">
        <v>21</v>
      </c>
      <c r="C1352" s="19">
        <f>40780+(3*365)</f>
        <v>41875</v>
      </c>
      <c r="D1352" s="18" t="s">
        <v>58</v>
      </c>
      <c r="E1352" s="18" t="s">
        <v>64</v>
      </c>
      <c r="F1352" s="21">
        <v>8520</v>
      </c>
    </row>
    <row r="1353" spans="2:6" x14ac:dyDescent="0.25">
      <c r="B1353" s="18" t="s">
        <v>11</v>
      </c>
      <c r="C1353" s="19">
        <f>41188+(3*365)</f>
        <v>42283</v>
      </c>
      <c r="D1353" s="18" t="s">
        <v>60</v>
      </c>
      <c r="E1353" s="18" t="s">
        <v>75</v>
      </c>
      <c r="F1353" s="21">
        <v>600</v>
      </c>
    </row>
    <row r="1354" spans="2:6" x14ac:dyDescent="0.25">
      <c r="B1354" s="18" t="s">
        <v>10</v>
      </c>
      <c r="C1354" s="19">
        <f>39843+(3*365)</f>
        <v>40938</v>
      </c>
      <c r="D1354" s="18" t="s">
        <v>65</v>
      </c>
      <c r="E1354" s="18" t="s">
        <v>61</v>
      </c>
      <c r="F1354" s="21">
        <v>900</v>
      </c>
    </row>
    <row r="1355" spans="2:6" x14ac:dyDescent="0.25">
      <c r="B1355" s="18" t="s">
        <v>21</v>
      </c>
      <c r="C1355" s="19">
        <f>40953+(3*365)</f>
        <v>42048</v>
      </c>
      <c r="D1355" s="18" t="s">
        <v>73</v>
      </c>
      <c r="E1355" s="18" t="s">
        <v>61</v>
      </c>
      <c r="F1355" s="21">
        <v>1316</v>
      </c>
    </row>
    <row r="1356" spans="2:6" x14ac:dyDescent="0.25">
      <c r="B1356" s="18" t="s">
        <v>31</v>
      </c>
      <c r="C1356" s="19">
        <f>41023+(3*365)</f>
        <v>42118</v>
      </c>
      <c r="D1356" s="18" t="s">
        <v>76</v>
      </c>
      <c r="E1356" s="18" t="s">
        <v>69</v>
      </c>
      <c r="F1356" s="21">
        <v>1449</v>
      </c>
    </row>
    <row r="1357" spans="2:6" x14ac:dyDescent="0.25">
      <c r="B1357" s="18" t="s">
        <v>10</v>
      </c>
      <c r="C1357" s="19">
        <f>39878+(3*365)</f>
        <v>40973</v>
      </c>
      <c r="D1357" s="18" t="s">
        <v>67</v>
      </c>
      <c r="E1357" s="18" t="s">
        <v>69</v>
      </c>
      <c r="F1357" s="21">
        <v>1716</v>
      </c>
    </row>
    <row r="1358" spans="2:6" x14ac:dyDescent="0.25">
      <c r="B1358" s="18" t="s">
        <v>10</v>
      </c>
      <c r="C1358" s="19">
        <f>41122+(3*365)</f>
        <v>42217</v>
      </c>
      <c r="D1358" s="18" t="s">
        <v>65</v>
      </c>
      <c r="E1358" s="18" t="s">
        <v>66</v>
      </c>
      <c r="F1358" s="21">
        <v>735</v>
      </c>
    </row>
    <row r="1359" spans="2:6" x14ac:dyDescent="0.25">
      <c r="B1359" s="18" t="s">
        <v>21</v>
      </c>
      <c r="C1359" s="19">
        <f>40318+(3*365)</f>
        <v>41413</v>
      </c>
      <c r="D1359" s="18" t="s">
        <v>58</v>
      </c>
      <c r="E1359" s="18" t="s">
        <v>59</v>
      </c>
      <c r="F1359" s="21">
        <v>100</v>
      </c>
    </row>
    <row r="1360" spans="2:6" x14ac:dyDescent="0.25">
      <c r="B1360" s="18" t="s">
        <v>25</v>
      </c>
      <c r="C1360" s="19">
        <f>41012+(3*365)</f>
        <v>42107</v>
      </c>
      <c r="D1360" s="18" t="s">
        <v>78</v>
      </c>
      <c r="E1360" s="18" t="s">
        <v>69</v>
      </c>
      <c r="F1360" s="21">
        <v>118</v>
      </c>
    </row>
    <row r="1361" spans="2:6" x14ac:dyDescent="0.25">
      <c r="B1361" s="18" t="s">
        <v>8</v>
      </c>
      <c r="C1361" s="19">
        <f>40869+(3*365)</f>
        <v>41964</v>
      </c>
      <c r="D1361" s="18" t="s">
        <v>81</v>
      </c>
      <c r="E1361" s="18" t="s">
        <v>64</v>
      </c>
      <c r="F1361" s="21">
        <v>11184</v>
      </c>
    </row>
    <row r="1362" spans="2:6" x14ac:dyDescent="0.25">
      <c r="B1362" s="18" t="s">
        <v>9</v>
      </c>
      <c r="C1362" s="19">
        <f>40698+(3*365)</f>
        <v>41793</v>
      </c>
      <c r="D1362" s="18" t="s">
        <v>62</v>
      </c>
      <c r="E1362" s="18" t="s">
        <v>59</v>
      </c>
      <c r="F1362" s="21">
        <v>81</v>
      </c>
    </row>
    <row r="1363" spans="2:6" x14ac:dyDescent="0.25">
      <c r="B1363" s="18" t="s">
        <v>9</v>
      </c>
      <c r="C1363" s="19">
        <f>40694+(3*365)</f>
        <v>41789</v>
      </c>
      <c r="D1363" s="18" t="s">
        <v>62</v>
      </c>
      <c r="E1363" s="18" t="s">
        <v>61</v>
      </c>
      <c r="F1363" s="21">
        <v>900</v>
      </c>
    </row>
    <row r="1364" spans="2:6" x14ac:dyDescent="0.25">
      <c r="B1364" s="18" t="s">
        <v>8</v>
      </c>
      <c r="C1364" s="19">
        <f>41002+(3*365)</f>
        <v>42097</v>
      </c>
      <c r="D1364" s="18" t="s">
        <v>81</v>
      </c>
      <c r="E1364" s="18" t="s">
        <v>72</v>
      </c>
      <c r="F1364" s="21">
        <v>1920</v>
      </c>
    </row>
    <row r="1365" spans="2:6" x14ac:dyDescent="0.25">
      <c r="B1365" s="18" t="s">
        <v>9</v>
      </c>
      <c r="C1365" s="19">
        <f>40609+(3*365)</f>
        <v>41704</v>
      </c>
      <c r="D1365" s="18" t="s">
        <v>62</v>
      </c>
      <c r="E1365" s="18" t="s">
        <v>63</v>
      </c>
      <c r="F1365" s="21">
        <v>840</v>
      </c>
    </row>
    <row r="1366" spans="2:6" x14ac:dyDescent="0.25">
      <c r="B1366" s="18" t="s">
        <v>31</v>
      </c>
      <c r="C1366" s="19">
        <f>40260+(3*365)</f>
        <v>41355</v>
      </c>
      <c r="D1366" s="18" t="s">
        <v>70</v>
      </c>
      <c r="E1366" s="18" t="s">
        <v>66</v>
      </c>
      <c r="F1366" s="21">
        <v>1476</v>
      </c>
    </row>
    <row r="1367" spans="2:6" x14ac:dyDescent="0.25">
      <c r="B1367" s="18" t="s">
        <v>8</v>
      </c>
      <c r="C1367" s="19">
        <f>41052+(3*365)</f>
        <v>42147</v>
      </c>
      <c r="D1367" s="18" t="s">
        <v>77</v>
      </c>
      <c r="E1367" s="18" t="s">
        <v>66</v>
      </c>
      <c r="F1367" s="21">
        <v>700</v>
      </c>
    </row>
    <row r="1368" spans="2:6" x14ac:dyDescent="0.25">
      <c r="B1368" s="18" t="s">
        <v>9</v>
      </c>
      <c r="C1368" s="19">
        <f>40721+(3*365)</f>
        <v>41816</v>
      </c>
      <c r="D1368" s="18" t="s">
        <v>80</v>
      </c>
      <c r="E1368" s="18" t="s">
        <v>61</v>
      </c>
      <c r="F1368" s="21">
        <v>828</v>
      </c>
    </row>
    <row r="1369" spans="2:6" x14ac:dyDescent="0.25">
      <c r="B1369" s="18" t="s">
        <v>31</v>
      </c>
      <c r="C1369" s="19">
        <f>41191+(3*365)</f>
        <v>42286</v>
      </c>
      <c r="D1369" s="18" t="s">
        <v>76</v>
      </c>
      <c r="E1369" s="18" t="s">
        <v>69</v>
      </c>
      <c r="F1369" s="21">
        <v>2016</v>
      </c>
    </row>
    <row r="1370" spans="2:6" x14ac:dyDescent="0.25">
      <c r="B1370" s="18" t="s">
        <v>9</v>
      </c>
      <c r="C1370" s="19">
        <f>40650+(3*365)</f>
        <v>41745</v>
      </c>
      <c r="D1370" s="18" t="s">
        <v>80</v>
      </c>
      <c r="E1370" s="18" t="s">
        <v>63</v>
      </c>
      <c r="F1370" s="21">
        <v>510</v>
      </c>
    </row>
    <row r="1371" spans="2:6" x14ac:dyDescent="0.25">
      <c r="B1371" s="18" t="s">
        <v>18</v>
      </c>
      <c r="C1371" s="19">
        <f>40899+(3*365)</f>
        <v>41994</v>
      </c>
      <c r="D1371" s="18" t="s">
        <v>68</v>
      </c>
      <c r="E1371" s="18" t="s">
        <v>72</v>
      </c>
      <c r="F1371" s="21">
        <v>104</v>
      </c>
    </row>
    <row r="1372" spans="2:6" x14ac:dyDescent="0.25">
      <c r="B1372" s="18" t="s">
        <v>25</v>
      </c>
      <c r="C1372" s="19">
        <f>40810+(3*365)</f>
        <v>41905</v>
      </c>
      <c r="D1372" s="18" t="s">
        <v>79</v>
      </c>
      <c r="E1372" s="18" t="s">
        <v>72</v>
      </c>
      <c r="F1372" s="21">
        <v>3184</v>
      </c>
    </row>
    <row r="1373" spans="2:6" x14ac:dyDescent="0.25">
      <c r="B1373" s="18" t="s">
        <v>31</v>
      </c>
      <c r="C1373" s="19">
        <f>41016+(3*365)</f>
        <v>42111</v>
      </c>
      <c r="D1373" s="18" t="s">
        <v>70</v>
      </c>
      <c r="E1373" s="18" t="s">
        <v>61</v>
      </c>
      <c r="F1373" s="21">
        <v>162</v>
      </c>
    </row>
    <row r="1374" spans="2:6" x14ac:dyDescent="0.25">
      <c r="B1374" s="18" t="s">
        <v>21</v>
      </c>
      <c r="C1374" s="19">
        <f>40050+(3*365)</f>
        <v>41145</v>
      </c>
      <c r="D1374" s="18" t="s">
        <v>73</v>
      </c>
      <c r="E1374" s="18" t="s">
        <v>75</v>
      </c>
      <c r="F1374" s="21">
        <v>138</v>
      </c>
    </row>
    <row r="1375" spans="2:6" x14ac:dyDescent="0.25">
      <c r="B1375" s="18" t="s">
        <v>21</v>
      </c>
      <c r="C1375" s="19">
        <f>40370+(3*365)</f>
        <v>41465</v>
      </c>
      <c r="D1375" s="18" t="s">
        <v>73</v>
      </c>
      <c r="E1375" s="18" t="s">
        <v>61</v>
      </c>
      <c r="F1375" s="21">
        <v>56</v>
      </c>
    </row>
    <row r="1376" spans="2:6" x14ac:dyDescent="0.25">
      <c r="B1376" s="18" t="s">
        <v>31</v>
      </c>
      <c r="C1376" s="19">
        <f>40419+(3*365)</f>
        <v>41514</v>
      </c>
      <c r="D1376" s="18" t="s">
        <v>76</v>
      </c>
      <c r="E1376" s="18" t="s">
        <v>72</v>
      </c>
      <c r="F1376" s="21">
        <v>192</v>
      </c>
    </row>
    <row r="1377" spans="2:6" x14ac:dyDescent="0.25">
      <c r="B1377" s="18" t="s">
        <v>9</v>
      </c>
      <c r="C1377" s="19">
        <f>41190+(3*365)</f>
        <v>42285</v>
      </c>
      <c r="D1377" s="18" t="s">
        <v>80</v>
      </c>
      <c r="E1377" s="18" t="s">
        <v>61</v>
      </c>
      <c r="F1377" s="21">
        <v>203</v>
      </c>
    </row>
    <row r="1378" spans="2:6" x14ac:dyDescent="0.25">
      <c r="B1378" s="18" t="s">
        <v>9</v>
      </c>
      <c r="C1378" s="19">
        <f>41273+(3*365)</f>
        <v>42368</v>
      </c>
      <c r="D1378" s="18" t="s">
        <v>62</v>
      </c>
      <c r="E1378" s="18" t="s">
        <v>64</v>
      </c>
      <c r="F1378" s="21">
        <v>1796</v>
      </c>
    </row>
    <row r="1379" spans="2:6" x14ac:dyDescent="0.25">
      <c r="B1379" s="18" t="s">
        <v>21</v>
      </c>
      <c r="C1379" s="19">
        <f>39966+(3*365)</f>
        <v>41061</v>
      </c>
      <c r="D1379" s="18" t="s">
        <v>73</v>
      </c>
      <c r="E1379" s="18" t="s">
        <v>75</v>
      </c>
      <c r="F1379" s="21">
        <v>203</v>
      </c>
    </row>
    <row r="1380" spans="2:6" x14ac:dyDescent="0.25">
      <c r="B1380" s="18" t="s">
        <v>21</v>
      </c>
      <c r="C1380" s="19">
        <f>39819+(3*365)</f>
        <v>40914</v>
      </c>
      <c r="D1380" s="18" t="s">
        <v>58</v>
      </c>
      <c r="E1380" s="18" t="s">
        <v>69</v>
      </c>
      <c r="F1380" s="21">
        <v>486</v>
      </c>
    </row>
    <row r="1381" spans="2:6" x14ac:dyDescent="0.25">
      <c r="B1381" s="18" t="s">
        <v>31</v>
      </c>
      <c r="C1381" s="19">
        <f>39954+(3*365)</f>
        <v>41049</v>
      </c>
      <c r="D1381" s="18" t="s">
        <v>70</v>
      </c>
      <c r="E1381" s="18" t="s">
        <v>69</v>
      </c>
      <c r="F1381" s="21">
        <v>2076</v>
      </c>
    </row>
    <row r="1382" spans="2:6" x14ac:dyDescent="0.25">
      <c r="B1382" s="18" t="s">
        <v>21</v>
      </c>
      <c r="C1382" s="19">
        <f>41041+(3*365)</f>
        <v>42136</v>
      </c>
      <c r="D1382" s="18" t="s">
        <v>73</v>
      </c>
      <c r="E1382" s="18" t="s">
        <v>59</v>
      </c>
      <c r="F1382" s="21">
        <v>576</v>
      </c>
    </row>
    <row r="1383" spans="2:6" x14ac:dyDescent="0.25">
      <c r="B1383" s="18" t="s">
        <v>10</v>
      </c>
      <c r="C1383" s="19">
        <f>41193+(3*365)</f>
        <v>42288</v>
      </c>
      <c r="D1383" s="18" t="s">
        <v>65</v>
      </c>
      <c r="E1383" s="18" t="s">
        <v>69</v>
      </c>
      <c r="F1383" s="21">
        <v>279</v>
      </c>
    </row>
    <row r="1384" spans="2:6" x14ac:dyDescent="0.25">
      <c r="B1384" s="18" t="s">
        <v>10</v>
      </c>
      <c r="C1384" s="19">
        <f>40239+(3*365)</f>
        <v>41334</v>
      </c>
      <c r="D1384" s="18" t="s">
        <v>67</v>
      </c>
      <c r="E1384" s="18" t="s">
        <v>69</v>
      </c>
      <c r="F1384" s="21">
        <v>1920</v>
      </c>
    </row>
    <row r="1385" spans="2:6" x14ac:dyDescent="0.25">
      <c r="B1385" s="18" t="s">
        <v>9</v>
      </c>
      <c r="C1385" s="19">
        <f>40265+(3*365)</f>
        <v>41360</v>
      </c>
      <c r="D1385" s="18" t="s">
        <v>62</v>
      </c>
      <c r="E1385" s="18" t="s">
        <v>72</v>
      </c>
      <c r="F1385" s="21">
        <v>1028</v>
      </c>
    </row>
    <row r="1386" spans="2:6" x14ac:dyDescent="0.25">
      <c r="B1386" s="18" t="s">
        <v>10</v>
      </c>
      <c r="C1386" s="19">
        <f>41139+(3*365)</f>
        <v>42234</v>
      </c>
      <c r="D1386" s="18" t="s">
        <v>65</v>
      </c>
      <c r="E1386" s="18" t="s">
        <v>61</v>
      </c>
      <c r="F1386" s="21">
        <v>228</v>
      </c>
    </row>
    <row r="1387" spans="2:6" x14ac:dyDescent="0.25">
      <c r="B1387" s="18" t="s">
        <v>18</v>
      </c>
      <c r="C1387" s="19">
        <f>40047+(3*365)</f>
        <v>41142</v>
      </c>
      <c r="D1387" s="18" t="s">
        <v>71</v>
      </c>
      <c r="E1387" s="18" t="s">
        <v>69</v>
      </c>
      <c r="F1387" s="21">
        <v>2124</v>
      </c>
    </row>
    <row r="1388" spans="2:6" x14ac:dyDescent="0.25">
      <c r="B1388" s="18" t="s">
        <v>9</v>
      </c>
      <c r="C1388" s="19">
        <f>40378+(3*365)</f>
        <v>41473</v>
      </c>
      <c r="D1388" s="18" t="s">
        <v>80</v>
      </c>
      <c r="E1388" s="18" t="s">
        <v>61</v>
      </c>
      <c r="F1388" s="21">
        <v>496</v>
      </c>
    </row>
    <row r="1389" spans="2:6" x14ac:dyDescent="0.25">
      <c r="B1389" s="18" t="s">
        <v>10</v>
      </c>
      <c r="C1389" s="19">
        <f>40902+(3*365)</f>
        <v>41997</v>
      </c>
      <c r="D1389" s="18" t="s">
        <v>67</v>
      </c>
      <c r="E1389" s="18" t="s">
        <v>69</v>
      </c>
      <c r="F1389" s="21">
        <v>484</v>
      </c>
    </row>
    <row r="1390" spans="2:6" x14ac:dyDescent="0.25">
      <c r="B1390" s="18" t="s">
        <v>10</v>
      </c>
      <c r="C1390" s="19">
        <f>41096+(3*365)</f>
        <v>42191</v>
      </c>
      <c r="D1390" s="18" t="s">
        <v>67</v>
      </c>
      <c r="E1390" s="18" t="s">
        <v>72</v>
      </c>
      <c r="F1390" s="21">
        <v>270</v>
      </c>
    </row>
    <row r="1391" spans="2:6" x14ac:dyDescent="0.25">
      <c r="B1391" s="18" t="s">
        <v>21</v>
      </c>
      <c r="C1391" s="19">
        <f>40189+(3*365)</f>
        <v>41284</v>
      </c>
      <c r="D1391" s="18" t="s">
        <v>58</v>
      </c>
      <c r="E1391" s="18" t="s">
        <v>59</v>
      </c>
      <c r="F1391" s="21">
        <v>280</v>
      </c>
    </row>
    <row r="1392" spans="2:6" x14ac:dyDescent="0.25">
      <c r="B1392" s="18" t="s">
        <v>9</v>
      </c>
      <c r="C1392" s="19">
        <f>40316+(3*365)</f>
        <v>41411</v>
      </c>
      <c r="D1392" s="18" t="s">
        <v>80</v>
      </c>
      <c r="E1392" s="18" t="s">
        <v>64</v>
      </c>
      <c r="F1392" s="21">
        <v>8816</v>
      </c>
    </row>
    <row r="1393" spans="2:6" x14ac:dyDescent="0.25">
      <c r="B1393" s="18" t="s">
        <v>18</v>
      </c>
      <c r="C1393" s="19">
        <f>40194+(3*365)</f>
        <v>41289</v>
      </c>
      <c r="D1393" s="18" t="s">
        <v>71</v>
      </c>
      <c r="E1393" s="18" t="s">
        <v>66</v>
      </c>
      <c r="F1393" s="21">
        <v>462</v>
      </c>
    </row>
    <row r="1394" spans="2:6" x14ac:dyDescent="0.25">
      <c r="B1394" s="18" t="s">
        <v>21</v>
      </c>
      <c r="C1394" s="19">
        <f>41037+(3*365)</f>
        <v>42132</v>
      </c>
      <c r="D1394" s="18" t="s">
        <v>58</v>
      </c>
      <c r="E1394" s="18" t="s">
        <v>61</v>
      </c>
      <c r="F1394" s="21">
        <v>912</v>
      </c>
    </row>
    <row r="1395" spans="2:6" x14ac:dyDescent="0.25">
      <c r="B1395" s="18" t="s">
        <v>31</v>
      </c>
      <c r="C1395" s="19">
        <f>41131+(3*365)</f>
        <v>42226</v>
      </c>
      <c r="D1395" s="18" t="s">
        <v>70</v>
      </c>
      <c r="E1395" s="18" t="s">
        <v>69</v>
      </c>
      <c r="F1395" s="21">
        <v>1854</v>
      </c>
    </row>
    <row r="1396" spans="2:6" x14ac:dyDescent="0.25">
      <c r="B1396" s="18" t="s">
        <v>18</v>
      </c>
      <c r="C1396" s="19">
        <f>40246+(3*365)</f>
        <v>41341</v>
      </c>
      <c r="D1396" s="18" t="s">
        <v>68</v>
      </c>
      <c r="E1396" s="18" t="s">
        <v>72</v>
      </c>
      <c r="F1396" s="21">
        <v>2856</v>
      </c>
    </row>
    <row r="1397" spans="2:6" x14ac:dyDescent="0.25">
      <c r="B1397" s="18" t="s">
        <v>31</v>
      </c>
      <c r="C1397" s="19">
        <f>40138+(3*365)</f>
        <v>41233</v>
      </c>
      <c r="D1397" s="18" t="s">
        <v>76</v>
      </c>
      <c r="E1397" s="18" t="s">
        <v>64</v>
      </c>
      <c r="F1397" s="21">
        <v>13392</v>
      </c>
    </row>
    <row r="1398" spans="2:6" x14ac:dyDescent="0.25">
      <c r="B1398" s="18" t="s">
        <v>11</v>
      </c>
      <c r="C1398" s="19">
        <f>40297+(3*365)</f>
        <v>41392</v>
      </c>
      <c r="D1398" s="18" t="s">
        <v>74</v>
      </c>
      <c r="E1398" s="18" t="s">
        <v>61</v>
      </c>
      <c r="F1398" s="21">
        <v>1200</v>
      </c>
    </row>
    <row r="1399" spans="2:6" x14ac:dyDescent="0.25">
      <c r="B1399" s="18" t="s">
        <v>18</v>
      </c>
      <c r="C1399" s="19">
        <f>39816+(3*365)</f>
        <v>40911</v>
      </c>
      <c r="D1399" s="18" t="s">
        <v>71</v>
      </c>
      <c r="E1399" s="18" t="s">
        <v>64</v>
      </c>
      <c r="F1399" s="21">
        <v>1076</v>
      </c>
    </row>
    <row r="1400" spans="2:6" x14ac:dyDescent="0.25">
      <c r="B1400" s="18" t="s">
        <v>10</v>
      </c>
      <c r="C1400" s="19">
        <f>40138+(3*365)</f>
        <v>41233</v>
      </c>
      <c r="D1400" s="18" t="s">
        <v>67</v>
      </c>
      <c r="E1400" s="18" t="s">
        <v>75</v>
      </c>
      <c r="F1400" s="21">
        <v>700</v>
      </c>
    </row>
    <row r="1401" spans="2:6" x14ac:dyDescent="0.25">
      <c r="B1401" s="18" t="s">
        <v>25</v>
      </c>
      <c r="C1401" s="19">
        <f>40273+(3*365)</f>
        <v>41368</v>
      </c>
      <c r="D1401" s="18" t="s">
        <v>78</v>
      </c>
      <c r="E1401" s="18" t="s">
        <v>61</v>
      </c>
      <c r="F1401" s="21">
        <v>945</v>
      </c>
    </row>
    <row r="1402" spans="2:6" x14ac:dyDescent="0.25">
      <c r="B1402" s="18" t="s">
        <v>11</v>
      </c>
      <c r="C1402" s="19">
        <f>40736+(3*365)</f>
        <v>41831</v>
      </c>
      <c r="D1402" s="18" t="s">
        <v>74</v>
      </c>
      <c r="E1402" s="18" t="s">
        <v>61</v>
      </c>
      <c r="F1402" s="21">
        <v>1176</v>
      </c>
    </row>
    <row r="1403" spans="2:6" x14ac:dyDescent="0.25">
      <c r="B1403" s="18" t="s">
        <v>8</v>
      </c>
      <c r="C1403" s="19">
        <f>40543+(3*365)</f>
        <v>41638</v>
      </c>
      <c r="D1403" s="18" t="s">
        <v>81</v>
      </c>
      <c r="E1403" s="18" t="s">
        <v>64</v>
      </c>
      <c r="F1403" s="21">
        <v>12488</v>
      </c>
    </row>
    <row r="1404" spans="2:6" x14ac:dyDescent="0.25">
      <c r="B1404" s="18" t="s">
        <v>21</v>
      </c>
      <c r="C1404" s="19">
        <f>41212+(3*365)</f>
        <v>42307</v>
      </c>
      <c r="D1404" s="18" t="s">
        <v>73</v>
      </c>
      <c r="E1404" s="18" t="s">
        <v>66</v>
      </c>
      <c r="F1404" s="21">
        <v>1708</v>
      </c>
    </row>
    <row r="1405" spans="2:6" x14ac:dyDescent="0.25">
      <c r="B1405" s="18" t="s">
        <v>8</v>
      </c>
      <c r="C1405" s="19">
        <f>40110+(3*365)</f>
        <v>41205</v>
      </c>
      <c r="D1405" s="18" t="s">
        <v>81</v>
      </c>
      <c r="E1405" s="18" t="s">
        <v>69</v>
      </c>
      <c r="F1405" s="21">
        <v>882</v>
      </c>
    </row>
    <row r="1406" spans="2:6" x14ac:dyDescent="0.25">
      <c r="B1406" s="18" t="s">
        <v>21</v>
      </c>
      <c r="C1406" s="19">
        <f>40030+(3*365)</f>
        <v>41125</v>
      </c>
      <c r="D1406" s="18" t="s">
        <v>58</v>
      </c>
      <c r="E1406" s="18" t="s">
        <v>63</v>
      </c>
      <c r="F1406" s="21">
        <v>217</v>
      </c>
    </row>
    <row r="1407" spans="2:6" x14ac:dyDescent="0.25">
      <c r="B1407" s="18" t="s">
        <v>31</v>
      </c>
      <c r="C1407" s="19">
        <f>40527+(3*365)</f>
        <v>41622</v>
      </c>
      <c r="D1407" s="18" t="s">
        <v>70</v>
      </c>
      <c r="E1407" s="18" t="s">
        <v>75</v>
      </c>
      <c r="F1407" s="21">
        <v>234</v>
      </c>
    </row>
    <row r="1408" spans="2:6" x14ac:dyDescent="0.25">
      <c r="B1408" s="18" t="s">
        <v>9</v>
      </c>
      <c r="C1408" s="19">
        <f>40733+(3*365)</f>
        <v>41828</v>
      </c>
      <c r="D1408" s="18" t="s">
        <v>62</v>
      </c>
      <c r="E1408" s="18" t="s">
        <v>75</v>
      </c>
      <c r="F1408" s="21">
        <v>198</v>
      </c>
    </row>
    <row r="1409" spans="2:6" x14ac:dyDescent="0.25">
      <c r="B1409" s="18" t="s">
        <v>25</v>
      </c>
      <c r="C1409" s="19">
        <f>40216+(3*365)</f>
        <v>41311</v>
      </c>
      <c r="D1409" s="18" t="s">
        <v>79</v>
      </c>
      <c r="E1409" s="18" t="s">
        <v>64</v>
      </c>
      <c r="F1409" s="21">
        <v>14634</v>
      </c>
    </row>
    <row r="1410" spans="2:6" x14ac:dyDescent="0.25">
      <c r="B1410" s="18" t="s">
        <v>9</v>
      </c>
      <c r="C1410" s="19">
        <f>40045+(3*365)</f>
        <v>41140</v>
      </c>
      <c r="D1410" s="18" t="s">
        <v>62</v>
      </c>
      <c r="E1410" s="18" t="s">
        <v>72</v>
      </c>
      <c r="F1410" s="21">
        <v>1428</v>
      </c>
    </row>
    <row r="1411" spans="2:6" x14ac:dyDescent="0.25">
      <c r="B1411" s="18" t="s">
        <v>11</v>
      </c>
      <c r="C1411" s="19">
        <f>40413+(3*365)</f>
        <v>41508</v>
      </c>
      <c r="D1411" s="18" t="s">
        <v>60</v>
      </c>
      <c r="E1411" s="18" t="s">
        <v>64</v>
      </c>
      <c r="F1411" s="21">
        <v>5463</v>
      </c>
    </row>
    <row r="1412" spans="2:6" x14ac:dyDescent="0.25">
      <c r="B1412" s="18" t="s">
        <v>18</v>
      </c>
      <c r="C1412" s="19">
        <f>39814+(3*365)</f>
        <v>40909</v>
      </c>
      <c r="D1412" s="18" t="s">
        <v>68</v>
      </c>
      <c r="E1412" s="18" t="s">
        <v>61</v>
      </c>
      <c r="F1412" s="21">
        <v>568</v>
      </c>
    </row>
    <row r="1413" spans="2:6" x14ac:dyDescent="0.25">
      <c r="B1413" s="18" t="s">
        <v>25</v>
      </c>
      <c r="C1413" s="19">
        <f>39936+(3*365)</f>
        <v>41031</v>
      </c>
      <c r="D1413" s="18" t="s">
        <v>79</v>
      </c>
      <c r="E1413" s="18" t="s">
        <v>64</v>
      </c>
      <c r="F1413" s="21">
        <v>1396</v>
      </c>
    </row>
    <row r="1414" spans="2:6" x14ac:dyDescent="0.25">
      <c r="B1414" s="18" t="s">
        <v>25</v>
      </c>
      <c r="C1414" s="19">
        <f>40928+(3*365)</f>
        <v>42023</v>
      </c>
      <c r="D1414" s="18" t="s">
        <v>79</v>
      </c>
      <c r="E1414" s="18" t="s">
        <v>75</v>
      </c>
      <c r="F1414" s="21">
        <v>140</v>
      </c>
    </row>
    <row r="1415" spans="2:6" x14ac:dyDescent="0.25">
      <c r="B1415" s="18" t="s">
        <v>18</v>
      </c>
      <c r="C1415" s="19">
        <f>40868+(3*365)</f>
        <v>41963</v>
      </c>
      <c r="D1415" s="18" t="s">
        <v>68</v>
      </c>
      <c r="E1415" s="18" t="s">
        <v>63</v>
      </c>
      <c r="F1415" s="21">
        <v>1848</v>
      </c>
    </row>
    <row r="1416" spans="2:6" x14ac:dyDescent="0.25">
      <c r="B1416" s="18" t="s">
        <v>8</v>
      </c>
      <c r="C1416" s="19">
        <f>40772+(3*365)</f>
        <v>41867</v>
      </c>
      <c r="D1416" s="18" t="s">
        <v>81</v>
      </c>
      <c r="E1416" s="18" t="s">
        <v>72</v>
      </c>
      <c r="F1416" s="21">
        <v>872</v>
      </c>
    </row>
    <row r="1417" spans="2:6" x14ac:dyDescent="0.25">
      <c r="B1417" s="18" t="s">
        <v>10</v>
      </c>
      <c r="C1417" s="19">
        <f>40671+(3*365)</f>
        <v>41766</v>
      </c>
      <c r="D1417" s="18" t="s">
        <v>67</v>
      </c>
      <c r="E1417" s="18" t="s">
        <v>63</v>
      </c>
      <c r="F1417" s="21">
        <v>504</v>
      </c>
    </row>
    <row r="1418" spans="2:6" x14ac:dyDescent="0.25">
      <c r="B1418" s="18" t="s">
        <v>10</v>
      </c>
      <c r="C1418" s="19">
        <f>40998+(3*365)</f>
        <v>42093</v>
      </c>
      <c r="D1418" s="18" t="s">
        <v>65</v>
      </c>
      <c r="E1418" s="18" t="s">
        <v>72</v>
      </c>
      <c r="F1418" s="21">
        <v>3042</v>
      </c>
    </row>
    <row r="1419" spans="2:6" x14ac:dyDescent="0.25">
      <c r="B1419" s="18" t="s">
        <v>18</v>
      </c>
      <c r="C1419" s="19">
        <f>40182+(3*365)</f>
        <v>41277</v>
      </c>
      <c r="D1419" s="18" t="s">
        <v>71</v>
      </c>
      <c r="E1419" s="18" t="s">
        <v>59</v>
      </c>
      <c r="F1419" s="21">
        <v>87</v>
      </c>
    </row>
    <row r="1420" spans="2:6" x14ac:dyDescent="0.25">
      <c r="B1420" s="18" t="s">
        <v>21</v>
      </c>
      <c r="C1420" s="19">
        <f>40886+(3*365)</f>
        <v>41981</v>
      </c>
      <c r="D1420" s="18" t="s">
        <v>73</v>
      </c>
      <c r="E1420" s="18" t="s">
        <v>72</v>
      </c>
      <c r="F1420" s="21">
        <v>726</v>
      </c>
    </row>
    <row r="1421" spans="2:6" x14ac:dyDescent="0.25">
      <c r="B1421" s="18" t="s">
        <v>18</v>
      </c>
      <c r="C1421" s="19">
        <f>41146+(3*365)</f>
        <v>42241</v>
      </c>
      <c r="D1421" s="18" t="s">
        <v>68</v>
      </c>
      <c r="E1421" s="18" t="s">
        <v>75</v>
      </c>
      <c r="F1421" s="21">
        <v>306</v>
      </c>
    </row>
    <row r="1422" spans="2:6" x14ac:dyDescent="0.25">
      <c r="B1422" s="18" t="s">
        <v>8</v>
      </c>
      <c r="C1422" s="19">
        <f>41200+(3*365)</f>
        <v>42295</v>
      </c>
      <c r="D1422" s="18" t="s">
        <v>81</v>
      </c>
      <c r="E1422" s="18" t="s">
        <v>69</v>
      </c>
      <c r="F1422" s="21">
        <v>4100</v>
      </c>
    </row>
    <row r="1423" spans="2:6" x14ac:dyDescent="0.25">
      <c r="B1423" s="18" t="s">
        <v>8</v>
      </c>
      <c r="C1423" s="19">
        <f>41134+(3*365)</f>
        <v>42229</v>
      </c>
      <c r="D1423" s="18" t="s">
        <v>77</v>
      </c>
      <c r="E1423" s="18" t="s">
        <v>59</v>
      </c>
      <c r="F1423" s="21">
        <v>720</v>
      </c>
    </row>
    <row r="1424" spans="2:6" x14ac:dyDescent="0.25">
      <c r="B1424" s="18" t="s">
        <v>9</v>
      </c>
      <c r="C1424" s="19">
        <f>40804+(3*365)</f>
        <v>41899</v>
      </c>
      <c r="D1424" s="18" t="s">
        <v>80</v>
      </c>
      <c r="E1424" s="18" t="s">
        <v>72</v>
      </c>
      <c r="F1424" s="21">
        <v>2457</v>
      </c>
    </row>
    <row r="1425" spans="2:6" x14ac:dyDescent="0.25">
      <c r="B1425" s="18" t="s">
        <v>8</v>
      </c>
      <c r="C1425" s="19">
        <f>40504+(3*365)</f>
        <v>41599</v>
      </c>
      <c r="D1425" s="18" t="s">
        <v>81</v>
      </c>
      <c r="E1425" s="18" t="s">
        <v>75</v>
      </c>
      <c r="F1425" s="21">
        <v>896</v>
      </c>
    </row>
    <row r="1426" spans="2:6" x14ac:dyDescent="0.25">
      <c r="B1426" s="18" t="s">
        <v>25</v>
      </c>
      <c r="C1426" s="19">
        <f>40941+(3*365)</f>
        <v>42036</v>
      </c>
      <c r="D1426" s="18" t="s">
        <v>79</v>
      </c>
      <c r="E1426" s="18" t="s">
        <v>72</v>
      </c>
      <c r="F1426" s="21">
        <v>2448</v>
      </c>
    </row>
    <row r="1427" spans="2:6" x14ac:dyDescent="0.25">
      <c r="B1427" s="18" t="s">
        <v>25</v>
      </c>
      <c r="C1427" s="19">
        <f>41259+(3*365)</f>
        <v>42354</v>
      </c>
      <c r="D1427" s="18" t="s">
        <v>79</v>
      </c>
      <c r="E1427" s="18" t="s">
        <v>59</v>
      </c>
      <c r="F1427" s="21">
        <v>416</v>
      </c>
    </row>
    <row r="1428" spans="2:6" x14ac:dyDescent="0.25">
      <c r="B1428" s="18" t="s">
        <v>11</v>
      </c>
      <c r="C1428" s="19">
        <f>40932+(3*365)</f>
        <v>42027</v>
      </c>
      <c r="D1428" s="18" t="s">
        <v>60</v>
      </c>
      <c r="E1428" s="18" t="s">
        <v>59</v>
      </c>
      <c r="F1428" s="21">
        <v>1064</v>
      </c>
    </row>
    <row r="1429" spans="2:6" x14ac:dyDescent="0.25">
      <c r="B1429" s="18" t="s">
        <v>25</v>
      </c>
      <c r="C1429" s="19">
        <f>40364+(3*365)</f>
        <v>41459</v>
      </c>
      <c r="D1429" s="18" t="s">
        <v>78</v>
      </c>
      <c r="E1429" s="18" t="s">
        <v>66</v>
      </c>
      <c r="F1429" s="21">
        <v>816</v>
      </c>
    </row>
    <row r="1430" spans="2:6" x14ac:dyDescent="0.25">
      <c r="B1430" s="18" t="s">
        <v>8</v>
      </c>
      <c r="C1430" s="19">
        <f>40484+(3*365)</f>
        <v>41579</v>
      </c>
      <c r="D1430" s="18" t="s">
        <v>77</v>
      </c>
      <c r="E1430" s="18" t="s">
        <v>75</v>
      </c>
      <c r="F1430" s="21">
        <v>44</v>
      </c>
    </row>
    <row r="1431" spans="2:6" x14ac:dyDescent="0.25">
      <c r="B1431" s="18" t="s">
        <v>8</v>
      </c>
      <c r="C1431" s="19">
        <f>40370+(3*365)</f>
        <v>41465</v>
      </c>
      <c r="D1431" s="18" t="s">
        <v>81</v>
      </c>
      <c r="E1431" s="18" t="s">
        <v>59</v>
      </c>
      <c r="F1431" s="21">
        <v>900</v>
      </c>
    </row>
    <row r="1432" spans="2:6" x14ac:dyDescent="0.25">
      <c r="B1432" s="18" t="s">
        <v>11</v>
      </c>
      <c r="C1432" s="19">
        <f>40611+(3*365)</f>
        <v>41706</v>
      </c>
      <c r="D1432" s="18" t="s">
        <v>74</v>
      </c>
      <c r="E1432" s="18" t="s">
        <v>66</v>
      </c>
      <c r="F1432" s="21">
        <v>2214</v>
      </c>
    </row>
    <row r="1433" spans="2:6" x14ac:dyDescent="0.25">
      <c r="B1433" s="18" t="s">
        <v>9</v>
      </c>
      <c r="C1433" s="19">
        <f>40041+(3*365)</f>
        <v>41136</v>
      </c>
      <c r="D1433" s="18" t="s">
        <v>62</v>
      </c>
      <c r="E1433" s="18" t="s">
        <v>66</v>
      </c>
      <c r="F1433" s="21">
        <v>318</v>
      </c>
    </row>
    <row r="1434" spans="2:6" x14ac:dyDescent="0.25">
      <c r="B1434" s="18" t="s">
        <v>18</v>
      </c>
      <c r="C1434" s="19">
        <f>40210+(3*365)</f>
        <v>41305</v>
      </c>
      <c r="D1434" s="18" t="s">
        <v>68</v>
      </c>
      <c r="E1434" s="18" t="s">
        <v>64</v>
      </c>
      <c r="F1434" s="21">
        <v>9282</v>
      </c>
    </row>
    <row r="1435" spans="2:6" x14ac:dyDescent="0.25">
      <c r="B1435" s="18" t="s">
        <v>10</v>
      </c>
      <c r="C1435" s="19">
        <f>40755+(3*365)</f>
        <v>41850</v>
      </c>
      <c r="D1435" s="18" t="s">
        <v>67</v>
      </c>
      <c r="E1435" s="18" t="s">
        <v>59</v>
      </c>
      <c r="F1435" s="21">
        <v>96</v>
      </c>
    </row>
    <row r="1436" spans="2:6" x14ac:dyDescent="0.25">
      <c r="B1436" s="18" t="s">
        <v>8</v>
      </c>
      <c r="C1436" s="19">
        <f>40547+(3*365)</f>
        <v>41642</v>
      </c>
      <c r="D1436" s="18" t="s">
        <v>77</v>
      </c>
      <c r="E1436" s="18" t="s">
        <v>63</v>
      </c>
      <c r="F1436" s="21">
        <v>1484</v>
      </c>
    </row>
    <row r="1437" spans="2:6" x14ac:dyDescent="0.25">
      <c r="B1437" s="18" t="s">
        <v>25</v>
      </c>
      <c r="C1437" s="19">
        <f>41013+(3*365)</f>
        <v>42108</v>
      </c>
      <c r="D1437" s="18" t="s">
        <v>79</v>
      </c>
      <c r="E1437" s="18" t="s">
        <v>69</v>
      </c>
      <c r="F1437" s="21">
        <v>2700</v>
      </c>
    </row>
    <row r="1438" spans="2:6" x14ac:dyDescent="0.25">
      <c r="B1438" s="18" t="s">
        <v>21</v>
      </c>
      <c r="C1438" s="19">
        <f>40769+(3*365)</f>
        <v>41864</v>
      </c>
      <c r="D1438" s="18" t="s">
        <v>58</v>
      </c>
      <c r="E1438" s="18" t="s">
        <v>59</v>
      </c>
      <c r="F1438" s="21">
        <v>54</v>
      </c>
    </row>
    <row r="1439" spans="2:6" x14ac:dyDescent="0.25">
      <c r="B1439" s="18" t="s">
        <v>25</v>
      </c>
      <c r="C1439" s="19">
        <f>40032+(3*365)</f>
        <v>41127</v>
      </c>
      <c r="D1439" s="18" t="s">
        <v>79</v>
      </c>
      <c r="E1439" s="18" t="s">
        <v>64</v>
      </c>
      <c r="F1439" s="21">
        <v>3330</v>
      </c>
    </row>
    <row r="1440" spans="2:6" x14ac:dyDescent="0.25">
      <c r="B1440" s="18" t="s">
        <v>9</v>
      </c>
      <c r="C1440" s="19">
        <f>40793+(3*365)</f>
        <v>41888</v>
      </c>
      <c r="D1440" s="18" t="s">
        <v>62</v>
      </c>
      <c r="E1440" s="18" t="s">
        <v>61</v>
      </c>
      <c r="F1440" s="21">
        <v>819</v>
      </c>
    </row>
    <row r="1441" spans="2:6" x14ac:dyDescent="0.25">
      <c r="B1441" s="18" t="s">
        <v>10</v>
      </c>
      <c r="C1441" s="19">
        <f>41203+(3*365)</f>
        <v>42298</v>
      </c>
      <c r="D1441" s="18" t="s">
        <v>67</v>
      </c>
      <c r="E1441" s="18" t="s">
        <v>61</v>
      </c>
      <c r="F1441" s="21">
        <v>78</v>
      </c>
    </row>
    <row r="1442" spans="2:6" x14ac:dyDescent="0.25">
      <c r="B1442" s="18" t="s">
        <v>25</v>
      </c>
      <c r="C1442" s="19">
        <f>40169+(3*365)</f>
        <v>41264</v>
      </c>
      <c r="D1442" s="18" t="s">
        <v>78</v>
      </c>
      <c r="E1442" s="18" t="s">
        <v>63</v>
      </c>
      <c r="F1442" s="21">
        <v>588</v>
      </c>
    </row>
    <row r="1443" spans="2:6" x14ac:dyDescent="0.25">
      <c r="B1443" s="18" t="s">
        <v>8</v>
      </c>
      <c r="C1443" s="19">
        <f>40355+(3*365)</f>
        <v>41450</v>
      </c>
      <c r="D1443" s="18" t="s">
        <v>81</v>
      </c>
      <c r="E1443" s="18" t="s">
        <v>61</v>
      </c>
      <c r="F1443" s="21">
        <v>384</v>
      </c>
    </row>
    <row r="1444" spans="2:6" x14ac:dyDescent="0.25">
      <c r="B1444" s="18" t="s">
        <v>21</v>
      </c>
      <c r="C1444" s="19">
        <f>39912+(3*365)</f>
        <v>41007</v>
      </c>
      <c r="D1444" s="18" t="s">
        <v>58</v>
      </c>
      <c r="E1444" s="18" t="s">
        <v>64</v>
      </c>
      <c r="F1444" s="21">
        <v>5400</v>
      </c>
    </row>
    <row r="1445" spans="2:6" x14ac:dyDescent="0.25">
      <c r="B1445" s="18" t="s">
        <v>31</v>
      </c>
      <c r="C1445" s="19">
        <f>40811+(3*365)</f>
        <v>41906</v>
      </c>
      <c r="D1445" s="18" t="s">
        <v>70</v>
      </c>
      <c r="E1445" s="18" t="s">
        <v>59</v>
      </c>
      <c r="F1445" s="21">
        <v>357</v>
      </c>
    </row>
    <row r="1446" spans="2:6" x14ac:dyDescent="0.25">
      <c r="B1446" s="18" t="s">
        <v>31</v>
      </c>
      <c r="C1446" s="19">
        <f>40154+(3*365)</f>
        <v>41249</v>
      </c>
      <c r="D1446" s="18" t="s">
        <v>70</v>
      </c>
      <c r="E1446" s="18" t="s">
        <v>69</v>
      </c>
      <c r="F1446" s="21">
        <v>1524</v>
      </c>
    </row>
    <row r="1447" spans="2:6" x14ac:dyDescent="0.25">
      <c r="B1447" s="18" t="s">
        <v>25</v>
      </c>
      <c r="C1447" s="19">
        <f>39968+(3*365)</f>
        <v>41063</v>
      </c>
      <c r="D1447" s="18" t="s">
        <v>79</v>
      </c>
      <c r="E1447" s="18" t="s">
        <v>63</v>
      </c>
      <c r="F1447" s="21">
        <v>280</v>
      </c>
    </row>
    <row r="1448" spans="2:6" x14ac:dyDescent="0.25">
      <c r="B1448" s="18" t="s">
        <v>8</v>
      </c>
      <c r="C1448" s="19">
        <f>41132+(3*365)</f>
        <v>42227</v>
      </c>
      <c r="D1448" s="18" t="s">
        <v>77</v>
      </c>
      <c r="E1448" s="18" t="s">
        <v>72</v>
      </c>
      <c r="F1448" s="21">
        <v>204</v>
      </c>
    </row>
    <row r="1449" spans="2:6" x14ac:dyDescent="0.25">
      <c r="B1449" s="18" t="s">
        <v>25</v>
      </c>
      <c r="C1449" s="19">
        <f>40845+(3*365)</f>
        <v>41940</v>
      </c>
      <c r="D1449" s="18" t="s">
        <v>79</v>
      </c>
      <c r="E1449" s="18" t="s">
        <v>64</v>
      </c>
      <c r="F1449" s="21">
        <v>1676</v>
      </c>
    </row>
    <row r="1450" spans="2:6" x14ac:dyDescent="0.25">
      <c r="B1450" s="18" t="s">
        <v>9</v>
      </c>
      <c r="C1450" s="19">
        <f>41041+(3*365)</f>
        <v>42136</v>
      </c>
      <c r="D1450" s="18" t="s">
        <v>80</v>
      </c>
      <c r="E1450" s="18" t="s">
        <v>75</v>
      </c>
      <c r="F1450" s="21">
        <v>115</v>
      </c>
    </row>
    <row r="1451" spans="2:6" x14ac:dyDescent="0.25">
      <c r="B1451" s="18" t="s">
        <v>25</v>
      </c>
      <c r="C1451" s="19">
        <f>40942+(3*365)</f>
        <v>42037</v>
      </c>
      <c r="D1451" s="18" t="s">
        <v>78</v>
      </c>
      <c r="E1451" s="18" t="s">
        <v>64</v>
      </c>
      <c r="F1451" s="21">
        <v>4494</v>
      </c>
    </row>
    <row r="1452" spans="2:6" x14ac:dyDescent="0.25">
      <c r="B1452" s="18" t="s">
        <v>31</v>
      </c>
      <c r="C1452" s="19">
        <f>41018+(3*365)</f>
        <v>42113</v>
      </c>
      <c r="D1452" s="18" t="s">
        <v>70</v>
      </c>
      <c r="E1452" s="18" t="s">
        <v>72</v>
      </c>
      <c r="F1452" s="21">
        <v>4752</v>
      </c>
    </row>
    <row r="1453" spans="2:6" x14ac:dyDescent="0.25">
      <c r="B1453" s="18" t="s">
        <v>11</v>
      </c>
      <c r="C1453" s="19">
        <f>40281+(3*365)</f>
        <v>41376</v>
      </c>
      <c r="D1453" s="18" t="s">
        <v>74</v>
      </c>
      <c r="E1453" s="18" t="s">
        <v>59</v>
      </c>
      <c r="F1453" s="21">
        <v>468</v>
      </c>
    </row>
    <row r="1454" spans="2:6" x14ac:dyDescent="0.25">
      <c r="B1454" s="18" t="s">
        <v>11</v>
      </c>
      <c r="C1454" s="19">
        <f>40971+(3*365)</f>
        <v>42066</v>
      </c>
      <c r="D1454" s="18" t="s">
        <v>60</v>
      </c>
      <c r="E1454" s="18" t="s">
        <v>72</v>
      </c>
      <c r="F1454" s="21">
        <v>192</v>
      </c>
    </row>
    <row r="1455" spans="2:6" x14ac:dyDescent="0.25">
      <c r="B1455" s="18" t="s">
        <v>9</v>
      </c>
      <c r="C1455" s="19">
        <f>39908+(3*365)</f>
        <v>41003</v>
      </c>
      <c r="D1455" s="18" t="s">
        <v>62</v>
      </c>
      <c r="E1455" s="18" t="s">
        <v>72</v>
      </c>
      <c r="F1455" s="21">
        <v>1250</v>
      </c>
    </row>
    <row r="1456" spans="2:6" x14ac:dyDescent="0.25">
      <c r="B1456" s="18" t="s">
        <v>25</v>
      </c>
      <c r="C1456" s="19">
        <f>40940+(3*365)</f>
        <v>42035</v>
      </c>
      <c r="D1456" s="18" t="s">
        <v>78</v>
      </c>
      <c r="E1456" s="18" t="s">
        <v>63</v>
      </c>
      <c r="F1456" s="21">
        <v>800</v>
      </c>
    </row>
    <row r="1457" spans="2:6" x14ac:dyDescent="0.25">
      <c r="B1457" s="18" t="s">
        <v>9</v>
      </c>
      <c r="C1457" s="19">
        <f>40750+(3*365)</f>
        <v>41845</v>
      </c>
      <c r="D1457" s="18" t="s">
        <v>80</v>
      </c>
      <c r="E1457" s="18" t="s">
        <v>72</v>
      </c>
      <c r="F1457" s="21">
        <v>1974</v>
      </c>
    </row>
    <row r="1458" spans="2:6" x14ac:dyDescent="0.25">
      <c r="B1458" s="18" t="s">
        <v>9</v>
      </c>
      <c r="C1458" s="19">
        <f>40725+(3*365)</f>
        <v>41820</v>
      </c>
      <c r="D1458" s="18" t="s">
        <v>80</v>
      </c>
      <c r="E1458" s="18" t="s">
        <v>66</v>
      </c>
      <c r="F1458" s="21">
        <v>720</v>
      </c>
    </row>
    <row r="1459" spans="2:6" x14ac:dyDescent="0.25">
      <c r="B1459" s="18" t="s">
        <v>10</v>
      </c>
      <c r="C1459" s="19">
        <f>40415+(3*365)</f>
        <v>41510</v>
      </c>
      <c r="D1459" s="18" t="s">
        <v>67</v>
      </c>
      <c r="E1459" s="18" t="s">
        <v>63</v>
      </c>
      <c r="F1459" s="21">
        <v>588</v>
      </c>
    </row>
    <row r="1460" spans="2:6" x14ac:dyDescent="0.25">
      <c r="B1460" s="18" t="s">
        <v>21</v>
      </c>
      <c r="C1460" s="19">
        <f>40329+(3*365)</f>
        <v>41424</v>
      </c>
      <c r="D1460" s="18" t="s">
        <v>58</v>
      </c>
      <c r="E1460" s="18" t="s">
        <v>59</v>
      </c>
      <c r="F1460" s="21">
        <v>420</v>
      </c>
    </row>
    <row r="1461" spans="2:6" x14ac:dyDescent="0.25">
      <c r="B1461" s="18" t="s">
        <v>11</v>
      </c>
      <c r="C1461" s="19">
        <f>41093+(3*365)</f>
        <v>42188</v>
      </c>
      <c r="D1461" s="18" t="s">
        <v>74</v>
      </c>
      <c r="E1461" s="18" t="s">
        <v>66</v>
      </c>
      <c r="F1461" s="21">
        <v>1596</v>
      </c>
    </row>
    <row r="1462" spans="2:6" x14ac:dyDescent="0.25">
      <c r="B1462" s="18" t="s">
        <v>8</v>
      </c>
      <c r="C1462" s="19">
        <f>41012+(3*365)</f>
        <v>42107</v>
      </c>
      <c r="D1462" s="18" t="s">
        <v>81</v>
      </c>
      <c r="E1462" s="18" t="s">
        <v>63</v>
      </c>
      <c r="F1462" s="21">
        <v>536</v>
      </c>
    </row>
    <row r="1463" spans="2:6" x14ac:dyDescent="0.25">
      <c r="B1463" s="18" t="s">
        <v>10</v>
      </c>
      <c r="C1463" s="19">
        <f>40244+(3*365)</f>
        <v>41339</v>
      </c>
      <c r="D1463" s="18" t="s">
        <v>67</v>
      </c>
      <c r="E1463" s="18" t="s">
        <v>75</v>
      </c>
      <c r="F1463" s="21">
        <v>108</v>
      </c>
    </row>
    <row r="1464" spans="2:6" x14ac:dyDescent="0.25">
      <c r="B1464" s="18" t="s">
        <v>9</v>
      </c>
      <c r="C1464" s="19">
        <f>39958+(3*365)</f>
        <v>41053</v>
      </c>
      <c r="D1464" s="18" t="s">
        <v>62</v>
      </c>
      <c r="E1464" s="18" t="s">
        <v>69</v>
      </c>
      <c r="F1464" s="21">
        <v>2674</v>
      </c>
    </row>
    <row r="1465" spans="2:6" x14ac:dyDescent="0.25">
      <c r="B1465" s="18" t="s">
        <v>9</v>
      </c>
      <c r="C1465" s="19">
        <f>40036+(3*365)</f>
        <v>41131</v>
      </c>
      <c r="D1465" s="18" t="s">
        <v>80</v>
      </c>
      <c r="E1465" s="18" t="s">
        <v>61</v>
      </c>
      <c r="F1465" s="21">
        <v>630</v>
      </c>
    </row>
    <row r="1466" spans="2:6" x14ac:dyDescent="0.25">
      <c r="B1466" s="18" t="s">
        <v>21</v>
      </c>
      <c r="C1466" s="19">
        <f>40949+(3*365)</f>
        <v>42044</v>
      </c>
      <c r="D1466" s="18" t="s">
        <v>58</v>
      </c>
      <c r="E1466" s="18" t="s">
        <v>63</v>
      </c>
      <c r="F1466" s="21">
        <v>1344</v>
      </c>
    </row>
    <row r="1467" spans="2:6" x14ac:dyDescent="0.25">
      <c r="B1467" s="18" t="s">
        <v>9</v>
      </c>
      <c r="C1467" s="19">
        <f>40751+(3*365)</f>
        <v>41846</v>
      </c>
      <c r="D1467" s="18" t="s">
        <v>80</v>
      </c>
      <c r="E1467" s="18" t="s">
        <v>66</v>
      </c>
      <c r="F1467" s="21">
        <v>90</v>
      </c>
    </row>
    <row r="1468" spans="2:6" x14ac:dyDescent="0.25">
      <c r="B1468" s="18" t="s">
        <v>10</v>
      </c>
      <c r="C1468" s="19">
        <f>41114+(3*365)</f>
        <v>42209</v>
      </c>
      <c r="D1468" s="18" t="s">
        <v>65</v>
      </c>
      <c r="E1468" s="18" t="s">
        <v>66</v>
      </c>
      <c r="F1468" s="21">
        <v>720</v>
      </c>
    </row>
    <row r="1469" spans="2:6" x14ac:dyDescent="0.25">
      <c r="B1469" s="18" t="s">
        <v>25</v>
      </c>
      <c r="C1469" s="19">
        <f>41108+(3*365)</f>
        <v>42203</v>
      </c>
      <c r="D1469" s="18" t="s">
        <v>78</v>
      </c>
      <c r="E1469" s="18" t="s">
        <v>59</v>
      </c>
      <c r="F1469" s="21">
        <v>432</v>
      </c>
    </row>
    <row r="1470" spans="2:6" x14ac:dyDescent="0.25">
      <c r="B1470" s="18" t="s">
        <v>21</v>
      </c>
      <c r="C1470" s="19">
        <f>39953+(3*365)</f>
        <v>41048</v>
      </c>
      <c r="D1470" s="18" t="s">
        <v>73</v>
      </c>
      <c r="E1470" s="18" t="s">
        <v>63</v>
      </c>
      <c r="F1470" s="21">
        <v>245</v>
      </c>
    </row>
    <row r="1471" spans="2:6" x14ac:dyDescent="0.25">
      <c r="B1471" s="18" t="s">
        <v>31</v>
      </c>
      <c r="C1471" s="19">
        <f>39885+(3*365)</f>
        <v>40980</v>
      </c>
      <c r="D1471" s="18" t="s">
        <v>76</v>
      </c>
      <c r="E1471" s="18" t="s">
        <v>75</v>
      </c>
      <c r="F1471" s="21">
        <v>294</v>
      </c>
    </row>
    <row r="1472" spans="2:6" x14ac:dyDescent="0.25">
      <c r="B1472" s="18" t="s">
        <v>18</v>
      </c>
      <c r="C1472" s="19">
        <f>40303+(3*365)</f>
        <v>41398</v>
      </c>
      <c r="D1472" s="18" t="s">
        <v>68</v>
      </c>
      <c r="E1472" s="18" t="s">
        <v>63</v>
      </c>
      <c r="F1472" s="21">
        <v>276</v>
      </c>
    </row>
    <row r="1473" spans="2:6" x14ac:dyDescent="0.25">
      <c r="B1473" s="18" t="s">
        <v>11</v>
      </c>
      <c r="C1473" s="19">
        <f>39931+(3*365)</f>
        <v>41026</v>
      </c>
      <c r="D1473" s="18" t="s">
        <v>60</v>
      </c>
      <c r="E1473" s="18" t="s">
        <v>59</v>
      </c>
      <c r="F1473" s="21">
        <v>114</v>
      </c>
    </row>
    <row r="1474" spans="2:6" x14ac:dyDescent="0.25">
      <c r="B1474" s="18" t="s">
        <v>10</v>
      </c>
      <c r="C1474" s="19">
        <f>41092+(3*365)</f>
        <v>42187</v>
      </c>
      <c r="D1474" s="18" t="s">
        <v>65</v>
      </c>
      <c r="E1474" s="18" t="s">
        <v>63</v>
      </c>
      <c r="F1474" s="21">
        <v>1488</v>
      </c>
    </row>
    <row r="1475" spans="2:6" x14ac:dyDescent="0.25">
      <c r="B1475" s="18" t="s">
        <v>9</v>
      </c>
      <c r="C1475" s="19">
        <f>41104+(3*365)</f>
        <v>42199</v>
      </c>
      <c r="D1475" s="18" t="s">
        <v>80</v>
      </c>
      <c r="E1475" s="18" t="s">
        <v>75</v>
      </c>
      <c r="F1475" s="21">
        <v>28</v>
      </c>
    </row>
    <row r="1476" spans="2:6" x14ac:dyDescent="0.25">
      <c r="B1476" s="18" t="s">
        <v>25</v>
      </c>
      <c r="C1476" s="19">
        <f>39923+(3*365)</f>
        <v>41018</v>
      </c>
      <c r="D1476" s="18" t="s">
        <v>78</v>
      </c>
      <c r="E1476" s="18" t="s">
        <v>69</v>
      </c>
      <c r="F1476" s="21">
        <v>1440</v>
      </c>
    </row>
    <row r="1477" spans="2:6" x14ac:dyDescent="0.25">
      <c r="B1477" s="18" t="s">
        <v>25</v>
      </c>
      <c r="C1477" s="19">
        <f>40200+(3*365)</f>
        <v>41295</v>
      </c>
      <c r="D1477" s="18" t="s">
        <v>79</v>
      </c>
      <c r="E1477" s="18" t="s">
        <v>75</v>
      </c>
      <c r="F1477" s="21">
        <v>390</v>
      </c>
    </row>
    <row r="1478" spans="2:6" x14ac:dyDescent="0.25">
      <c r="B1478" s="18" t="s">
        <v>31</v>
      </c>
      <c r="C1478" s="19">
        <f>40772+(3*365)</f>
        <v>41867</v>
      </c>
      <c r="D1478" s="18" t="s">
        <v>76</v>
      </c>
      <c r="E1478" s="18" t="s">
        <v>75</v>
      </c>
      <c r="F1478" s="21">
        <v>456</v>
      </c>
    </row>
    <row r="1479" spans="2:6" x14ac:dyDescent="0.25">
      <c r="B1479" s="18" t="s">
        <v>25</v>
      </c>
      <c r="C1479" s="19">
        <f>40335+(3*365)</f>
        <v>41430</v>
      </c>
      <c r="D1479" s="18" t="s">
        <v>79</v>
      </c>
      <c r="E1479" s="18" t="s">
        <v>61</v>
      </c>
      <c r="F1479" s="21">
        <v>1224</v>
      </c>
    </row>
    <row r="1480" spans="2:6" x14ac:dyDescent="0.25">
      <c r="B1480" s="18" t="s">
        <v>31</v>
      </c>
      <c r="C1480" s="19">
        <f>40387+(3*365)</f>
        <v>41482</v>
      </c>
      <c r="D1480" s="18" t="s">
        <v>76</v>
      </c>
      <c r="E1480" s="18" t="s">
        <v>64</v>
      </c>
      <c r="F1480" s="21">
        <v>6852</v>
      </c>
    </row>
    <row r="1481" spans="2:6" x14ac:dyDescent="0.25">
      <c r="B1481" s="18" t="s">
        <v>21</v>
      </c>
      <c r="C1481" s="19">
        <f>40638+(3*365)</f>
        <v>41733</v>
      </c>
      <c r="D1481" s="18" t="s">
        <v>73</v>
      </c>
      <c r="E1481" s="18" t="s">
        <v>72</v>
      </c>
      <c r="F1481" s="21">
        <v>405</v>
      </c>
    </row>
    <row r="1482" spans="2:6" x14ac:dyDescent="0.25">
      <c r="B1482" s="18" t="s">
        <v>11</v>
      </c>
      <c r="C1482" s="19">
        <f>41003+(3*365)</f>
        <v>42098</v>
      </c>
      <c r="D1482" s="18" t="s">
        <v>74</v>
      </c>
      <c r="E1482" s="18" t="s">
        <v>59</v>
      </c>
      <c r="F1482" s="21">
        <v>96</v>
      </c>
    </row>
    <row r="1483" spans="2:6" x14ac:dyDescent="0.25">
      <c r="B1483" s="18" t="s">
        <v>25</v>
      </c>
      <c r="C1483" s="19">
        <f>40841+(3*365)</f>
        <v>41936</v>
      </c>
      <c r="D1483" s="18" t="s">
        <v>79</v>
      </c>
      <c r="E1483" s="18" t="s">
        <v>72</v>
      </c>
      <c r="F1483" s="21">
        <v>532</v>
      </c>
    </row>
    <row r="1484" spans="2:6" x14ac:dyDescent="0.25">
      <c r="B1484" s="18" t="s">
        <v>11</v>
      </c>
      <c r="C1484" s="19">
        <f>40567+(3*365)</f>
        <v>41662</v>
      </c>
      <c r="D1484" s="18" t="s">
        <v>74</v>
      </c>
      <c r="E1484" s="18" t="s">
        <v>69</v>
      </c>
      <c r="F1484" s="21">
        <v>3624</v>
      </c>
    </row>
    <row r="1485" spans="2:6" x14ac:dyDescent="0.25">
      <c r="B1485" s="18" t="s">
        <v>11</v>
      </c>
      <c r="C1485" s="19">
        <f>40097+(3*365)</f>
        <v>41192</v>
      </c>
      <c r="D1485" s="18" t="s">
        <v>74</v>
      </c>
      <c r="E1485" s="18" t="s">
        <v>59</v>
      </c>
      <c r="F1485" s="21">
        <v>768</v>
      </c>
    </row>
    <row r="1486" spans="2:6" x14ac:dyDescent="0.25">
      <c r="B1486" s="18" t="s">
        <v>9</v>
      </c>
      <c r="C1486" s="19">
        <f>39967+(3*365)</f>
        <v>41062</v>
      </c>
      <c r="D1486" s="18" t="s">
        <v>80</v>
      </c>
      <c r="E1486" s="18" t="s">
        <v>69</v>
      </c>
      <c r="F1486" s="21">
        <v>1668</v>
      </c>
    </row>
    <row r="1487" spans="2:6" x14ac:dyDescent="0.25">
      <c r="B1487" s="18" t="s">
        <v>9</v>
      </c>
      <c r="C1487" s="19">
        <f>41042+(3*365)</f>
        <v>42137</v>
      </c>
      <c r="D1487" s="18" t="s">
        <v>80</v>
      </c>
      <c r="E1487" s="18" t="s">
        <v>66</v>
      </c>
      <c r="F1487" s="21">
        <v>166</v>
      </c>
    </row>
    <row r="1488" spans="2:6" x14ac:dyDescent="0.25">
      <c r="B1488" s="18" t="s">
        <v>18</v>
      </c>
      <c r="C1488" s="19">
        <f>40553+(3*365)</f>
        <v>41648</v>
      </c>
      <c r="D1488" s="18" t="s">
        <v>71</v>
      </c>
      <c r="E1488" s="18" t="s">
        <v>59</v>
      </c>
      <c r="F1488" s="21">
        <v>504</v>
      </c>
    </row>
    <row r="1489" spans="2:6" x14ac:dyDescent="0.25">
      <c r="B1489" s="18" t="s">
        <v>9</v>
      </c>
      <c r="C1489" s="19">
        <f>40253+(3*365)</f>
        <v>41348</v>
      </c>
      <c r="D1489" s="18" t="s">
        <v>62</v>
      </c>
      <c r="E1489" s="18" t="s">
        <v>59</v>
      </c>
      <c r="F1489" s="21">
        <v>464</v>
      </c>
    </row>
    <row r="1490" spans="2:6" x14ac:dyDescent="0.25">
      <c r="B1490" s="18" t="s">
        <v>8</v>
      </c>
      <c r="C1490" s="19">
        <f>40246+(3*365)</f>
        <v>41341</v>
      </c>
      <c r="D1490" s="18" t="s">
        <v>77</v>
      </c>
      <c r="E1490" s="18" t="s">
        <v>66</v>
      </c>
      <c r="F1490" s="21">
        <v>896</v>
      </c>
    </row>
    <row r="1491" spans="2:6" x14ac:dyDescent="0.25">
      <c r="B1491" s="18" t="s">
        <v>21</v>
      </c>
      <c r="C1491" s="19">
        <f>39873+(3*365)</f>
        <v>40968</v>
      </c>
      <c r="D1491" s="18" t="s">
        <v>73</v>
      </c>
      <c r="E1491" s="18" t="s">
        <v>75</v>
      </c>
      <c r="F1491" s="21">
        <v>117</v>
      </c>
    </row>
    <row r="1492" spans="2:6" x14ac:dyDescent="0.25">
      <c r="B1492" s="18" t="s">
        <v>25</v>
      </c>
      <c r="C1492" s="19">
        <f>41136+(3*365)</f>
        <v>42231</v>
      </c>
      <c r="D1492" s="18" t="s">
        <v>79</v>
      </c>
      <c r="E1492" s="18" t="s">
        <v>59</v>
      </c>
      <c r="F1492" s="21">
        <v>256</v>
      </c>
    </row>
    <row r="1493" spans="2:6" x14ac:dyDescent="0.25">
      <c r="B1493" s="18" t="s">
        <v>10</v>
      </c>
      <c r="C1493" s="19">
        <f>41178+(3*365)</f>
        <v>42273</v>
      </c>
      <c r="D1493" s="18" t="s">
        <v>65</v>
      </c>
      <c r="E1493" s="18" t="s">
        <v>75</v>
      </c>
      <c r="F1493" s="21">
        <v>435</v>
      </c>
    </row>
    <row r="1494" spans="2:6" x14ac:dyDescent="0.25">
      <c r="B1494" s="18" t="s">
        <v>11</v>
      </c>
      <c r="C1494" s="19">
        <f>39936+(3*365)</f>
        <v>41031</v>
      </c>
      <c r="D1494" s="18" t="s">
        <v>60</v>
      </c>
      <c r="E1494" s="18" t="s">
        <v>75</v>
      </c>
      <c r="F1494" s="21">
        <v>384</v>
      </c>
    </row>
    <row r="1495" spans="2:6" x14ac:dyDescent="0.25">
      <c r="B1495" s="18" t="s">
        <v>25</v>
      </c>
      <c r="C1495" s="19">
        <f>40039+(3*365)</f>
        <v>41134</v>
      </c>
      <c r="D1495" s="18" t="s">
        <v>78</v>
      </c>
      <c r="E1495" s="18" t="s">
        <v>75</v>
      </c>
      <c r="F1495" s="21">
        <v>132</v>
      </c>
    </row>
    <row r="1496" spans="2:6" x14ac:dyDescent="0.25">
      <c r="B1496" s="18" t="s">
        <v>31</v>
      </c>
      <c r="C1496" s="19">
        <f>41072+(3*365)</f>
        <v>42167</v>
      </c>
      <c r="D1496" s="18" t="s">
        <v>76</v>
      </c>
      <c r="E1496" s="18" t="s">
        <v>64</v>
      </c>
      <c r="F1496" s="21">
        <v>10647</v>
      </c>
    </row>
    <row r="1497" spans="2:6" x14ac:dyDescent="0.25">
      <c r="B1497" s="18" t="s">
        <v>18</v>
      </c>
      <c r="C1497" s="19">
        <f>40202+(3*365)</f>
        <v>41297</v>
      </c>
      <c r="D1497" s="18" t="s">
        <v>68</v>
      </c>
      <c r="E1497" s="18" t="s">
        <v>72</v>
      </c>
      <c r="F1497" s="21">
        <v>2877</v>
      </c>
    </row>
    <row r="1498" spans="2:6" x14ac:dyDescent="0.25">
      <c r="B1498" s="18" t="s">
        <v>25</v>
      </c>
      <c r="C1498" s="19">
        <f>40191+(3*365)</f>
        <v>41286</v>
      </c>
      <c r="D1498" s="18" t="s">
        <v>78</v>
      </c>
      <c r="E1498" s="18" t="s">
        <v>61</v>
      </c>
      <c r="F1498" s="21">
        <v>756</v>
      </c>
    </row>
    <row r="1499" spans="2:6" x14ac:dyDescent="0.25">
      <c r="B1499" s="18" t="s">
        <v>18</v>
      </c>
      <c r="C1499" s="19">
        <f>40545+(3*365)</f>
        <v>41640</v>
      </c>
      <c r="D1499" s="18" t="s">
        <v>71</v>
      </c>
      <c r="E1499" s="18" t="s">
        <v>59</v>
      </c>
      <c r="F1499" s="21">
        <v>228</v>
      </c>
    </row>
    <row r="1500" spans="2:6" x14ac:dyDescent="0.25">
      <c r="B1500" s="18" t="s">
        <v>31</v>
      </c>
      <c r="C1500" s="19">
        <f>40981+(3*365)</f>
        <v>42076</v>
      </c>
      <c r="D1500" s="18" t="s">
        <v>70</v>
      </c>
      <c r="E1500" s="18" t="s">
        <v>64</v>
      </c>
      <c r="F1500" s="21">
        <v>2292</v>
      </c>
    </row>
    <row r="1501" spans="2:6" x14ac:dyDescent="0.25">
      <c r="B1501" s="18" t="s">
        <v>11</v>
      </c>
      <c r="C1501" s="19">
        <f>40804+(3*365)</f>
        <v>41899</v>
      </c>
      <c r="D1501" s="18" t="s">
        <v>60</v>
      </c>
      <c r="E1501" s="18" t="s">
        <v>61</v>
      </c>
      <c r="F1501" s="21">
        <v>708</v>
      </c>
    </row>
    <row r="1502" spans="2:6" x14ac:dyDescent="0.25">
      <c r="B1502" s="18" t="s">
        <v>25</v>
      </c>
      <c r="C1502" s="19">
        <f>39943+(3*365)</f>
        <v>41038</v>
      </c>
      <c r="D1502" s="18" t="s">
        <v>79</v>
      </c>
      <c r="E1502" s="18" t="s">
        <v>72</v>
      </c>
      <c r="F1502" s="21">
        <v>436</v>
      </c>
    </row>
    <row r="1503" spans="2:6" x14ac:dyDescent="0.25">
      <c r="B1503" s="18" t="s">
        <v>31</v>
      </c>
      <c r="C1503" s="19">
        <f>40087+(3*365)</f>
        <v>41182</v>
      </c>
      <c r="D1503" s="18" t="s">
        <v>76</v>
      </c>
      <c r="E1503" s="18" t="s">
        <v>66</v>
      </c>
      <c r="F1503" s="21">
        <v>750</v>
      </c>
    </row>
    <row r="1504" spans="2:6" x14ac:dyDescent="0.25">
      <c r="B1504" s="18" t="s">
        <v>25</v>
      </c>
      <c r="C1504" s="19">
        <f>40543+(3*365)</f>
        <v>41638</v>
      </c>
      <c r="D1504" s="18" t="s">
        <v>78</v>
      </c>
      <c r="E1504" s="18" t="s">
        <v>64</v>
      </c>
      <c r="F1504" s="21">
        <v>2736</v>
      </c>
    </row>
    <row r="1505" spans="2:6" x14ac:dyDescent="0.25">
      <c r="B1505" s="18" t="s">
        <v>25</v>
      </c>
      <c r="C1505" s="19">
        <f>39936+(3*365)</f>
        <v>41031</v>
      </c>
      <c r="D1505" s="18" t="s">
        <v>78</v>
      </c>
      <c r="E1505" s="18" t="s">
        <v>61</v>
      </c>
      <c r="F1505" s="21">
        <v>952</v>
      </c>
    </row>
    <row r="1506" spans="2:6" x14ac:dyDescent="0.25">
      <c r="B1506" s="18" t="s">
        <v>21</v>
      </c>
      <c r="C1506" s="19">
        <f>41058+(3*365)</f>
        <v>42153</v>
      </c>
      <c r="D1506" s="18" t="s">
        <v>58</v>
      </c>
      <c r="E1506" s="18" t="s">
        <v>69</v>
      </c>
      <c r="F1506" s="21">
        <v>1392</v>
      </c>
    </row>
    <row r="1507" spans="2:6" x14ac:dyDescent="0.25">
      <c r="B1507" s="18" t="s">
        <v>21</v>
      </c>
      <c r="C1507" s="19">
        <f>40734+(3*365)</f>
        <v>41829</v>
      </c>
      <c r="D1507" s="18" t="s">
        <v>58</v>
      </c>
      <c r="E1507" s="18" t="s">
        <v>61</v>
      </c>
      <c r="F1507" s="21">
        <v>147</v>
      </c>
    </row>
    <row r="1508" spans="2:6" x14ac:dyDescent="0.25">
      <c r="B1508" s="18" t="s">
        <v>25</v>
      </c>
      <c r="C1508" s="19">
        <f>40879+(3*365)</f>
        <v>41974</v>
      </c>
      <c r="D1508" s="18" t="s">
        <v>78</v>
      </c>
      <c r="E1508" s="18" t="s">
        <v>66</v>
      </c>
      <c r="F1508" s="21">
        <v>1280</v>
      </c>
    </row>
    <row r="1509" spans="2:6" x14ac:dyDescent="0.25">
      <c r="B1509" s="18" t="s">
        <v>9</v>
      </c>
      <c r="C1509" s="19">
        <f>40825+(3*365)</f>
        <v>41920</v>
      </c>
      <c r="D1509" s="18" t="s">
        <v>80</v>
      </c>
      <c r="E1509" s="18" t="s">
        <v>75</v>
      </c>
      <c r="F1509" s="21">
        <v>75</v>
      </c>
    </row>
    <row r="1510" spans="2:6" x14ac:dyDescent="0.25">
      <c r="B1510" s="18" t="s">
        <v>25</v>
      </c>
      <c r="C1510" s="19">
        <f>39854+(3*365)</f>
        <v>40949</v>
      </c>
      <c r="D1510" s="18" t="s">
        <v>79</v>
      </c>
      <c r="E1510" s="18" t="s">
        <v>63</v>
      </c>
      <c r="F1510" s="21">
        <v>720</v>
      </c>
    </row>
    <row r="1511" spans="2:6" x14ac:dyDescent="0.25">
      <c r="B1511" s="18" t="s">
        <v>21</v>
      </c>
      <c r="C1511" s="19">
        <f>40046+(3*365)</f>
        <v>41141</v>
      </c>
      <c r="D1511" s="18" t="s">
        <v>73</v>
      </c>
      <c r="E1511" s="18" t="s">
        <v>63</v>
      </c>
      <c r="F1511" s="21">
        <v>21</v>
      </c>
    </row>
    <row r="1512" spans="2:6" x14ac:dyDescent="0.25">
      <c r="B1512" s="18" t="s">
        <v>31</v>
      </c>
      <c r="C1512" s="19">
        <f>40715+(3*365)</f>
        <v>41810</v>
      </c>
      <c r="D1512" s="18" t="s">
        <v>70</v>
      </c>
      <c r="E1512" s="18" t="s">
        <v>69</v>
      </c>
      <c r="F1512" s="21">
        <v>1458</v>
      </c>
    </row>
    <row r="1513" spans="2:6" x14ac:dyDescent="0.25">
      <c r="B1513" s="18" t="s">
        <v>31</v>
      </c>
      <c r="C1513" s="19">
        <f>40906+(3*365)</f>
        <v>42001</v>
      </c>
      <c r="D1513" s="18" t="s">
        <v>76</v>
      </c>
      <c r="E1513" s="18" t="s">
        <v>66</v>
      </c>
      <c r="F1513" s="21">
        <v>2295</v>
      </c>
    </row>
    <row r="1514" spans="2:6" x14ac:dyDescent="0.25">
      <c r="B1514" s="18" t="s">
        <v>31</v>
      </c>
      <c r="C1514" s="19">
        <f>41163+(3*365)</f>
        <v>42258</v>
      </c>
      <c r="D1514" s="18" t="s">
        <v>70</v>
      </c>
      <c r="E1514" s="18" t="s">
        <v>69</v>
      </c>
      <c r="F1514" s="21">
        <v>1863</v>
      </c>
    </row>
    <row r="1515" spans="2:6" x14ac:dyDescent="0.25">
      <c r="B1515" s="18" t="s">
        <v>10</v>
      </c>
      <c r="C1515" s="19">
        <f>39876+(3*365)</f>
        <v>40971</v>
      </c>
      <c r="D1515" s="18" t="s">
        <v>65</v>
      </c>
      <c r="E1515" s="18" t="s">
        <v>59</v>
      </c>
      <c r="F1515" s="21">
        <v>504</v>
      </c>
    </row>
    <row r="1516" spans="2:6" x14ac:dyDescent="0.25">
      <c r="B1516" s="18" t="s">
        <v>11</v>
      </c>
      <c r="C1516" s="19">
        <f>39920+(3*365)</f>
        <v>41015</v>
      </c>
      <c r="D1516" s="18" t="s">
        <v>60</v>
      </c>
      <c r="E1516" s="18" t="s">
        <v>69</v>
      </c>
      <c r="F1516" s="21">
        <v>960</v>
      </c>
    </row>
    <row r="1517" spans="2:6" x14ac:dyDescent="0.25">
      <c r="B1517" s="18" t="s">
        <v>8</v>
      </c>
      <c r="C1517" s="19">
        <f>40017+(3*365)</f>
        <v>41112</v>
      </c>
      <c r="D1517" s="18" t="s">
        <v>81</v>
      </c>
      <c r="E1517" s="18" t="s">
        <v>59</v>
      </c>
      <c r="F1517" s="21">
        <v>630</v>
      </c>
    </row>
    <row r="1518" spans="2:6" x14ac:dyDescent="0.25">
      <c r="B1518" s="18" t="s">
        <v>31</v>
      </c>
      <c r="C1518" s="19">
        <f>41264+(3*365)</f>
        <v>42359</v>
      </c>
      <c r="D1518" s="18" t="s">
        <v>70</v>
      </c>
      <c r="E1518" s="18" t="s">
        <v>69</v>
      </c>
      <c r="F1518" s="21">
        <v>309</v>
      </c>
    </row>
    <row r="1519" spans="2:6" x14ac:dyDescent="0.25">
      <c r="B1519" s="18" t="s">
        <v>25</v>
      </c>
      <c r="C1519" s="19">
        <f>41082+(3*365)</f>
        <v>42177</v>
      </c>
      <c r="D1519" s="18" t="s">
        <v>79</v>
      </c>
      <c r="E1519" s="18" t="s">
        <v>75</v>
      </c>
      <c r="F1519" s="21">
        <v>176</v>
      </c>
    </row>
    <row r="1520" spans="2:6" x14ac:dyDescent="0.25">
      <c r="B1520" s="18" t="s">
        <v>25</v>
      </c>
      <c r="C1520" s="19">
        <f>40036+(3*365)</f>
        <v>41131</v>
      </c>
      <c r="D1520" s="18" t="s">
        <v>79</v>
      </c>
      <c r="E1520" s="18" t="s">
        <v>63</v>
      </c>
      <c r="F1520" s="21">
        <v>756</v>
      </c>
    </row>
    <row r="1521" spans="2:6" x14ac:dyDescent="0.25">
      <c r="B1521" s="18" t="s">
        <v>8</v>
      </c>
      <c r="C1521" s="19">
        <f>41073+(3*365)</f>
        <v>42168</v>
      </c>
      <c r="D1521" s="18" t="s">
        <v>81</v>
      </c>
      <c r="E1521" s="18" t="s">
        <v>59</v>
      </c>
      <c r="F1521" s="21">
        <v>696</v>
      </c>
    </row>
    <row r="1522" spans="2:6" x14ac:dyDescent="0.25">
      <c r="B1522" s="18" t="s">
        <v>9</v>
      </c>
      <c r="C1522" s="19">
        <f>40093+(3*365)</f>
        <v>41188</v>
      </c>
      <c r="D1522" s="18" t="s">
        <v>80</v>
      </c>
      <c r="E1522" s="18" t="s">
        <v>72</v>
      </c>
      <c r="F1522" s="21">
        <v>3616</v>
      </c>
    </row>
    <row r="1523" spans="2:6" x14ac:dyDescent="0.25">
      <c r="B1523" s="18" t="s">
        <v>31</v>
      </c>
      <c r="C1523" s="19">
        <f>40407+(3*365)</f>
        <v>41502</v>
      </c>
      <c r="D1523" s="18" t="s">
        <v>70</v>
      </c>
      <c r="E1523" s="18" t="s">
        <v>61</v>
      </c>
      <c r="F1523" s="21">
        <v>672</v>
      </c>
    </row>
    <row r="1524" spans="2:6" x14ac:dyDescent="0.25">
      <c r="B1524" s="18" t="s">
        <v>18</v>
      </c>
      <c r="C1524" s="19">
        <f>41171+(3*365)</f>
        <v>42266</v>
      </c>
      <c r="D1524" s="18" t="s">
        <v>68</v>
      </c>
      <c r="E1524" s="18" t="s">
        <v>69</v>
      </c>
      <c r="F1524" s="21">
        <v>864</v>
      </c>
    </row>
    <row r="1525" spans="2:6" x14ac:dyDescent="0.25">
      <c r="B1525" s="18" t="s">
        <v>10</v>
      </c>
      <c r="C1525" s="19">
        <f>40325+(3*365)</f>
        <v>41420</v>
      </c>
      <c r="D1525" s="18" t="s">
        <v>65</v>
      </c>
      <c r="E1525" s="18" t="s">
        <v>59</v>
      </c>
      <c r="F1525" s="21">
        <v>180</v>
      </c>
    </row>
    <row r="1526" spans="2:6" x14ac:dyDescent="0.25">
      <c r="B1526" s="18" t="s">
        <v>31</v>
      </c>
      <c r="C1526" s="19">
        <f>41061+(3*365)</f>
        <v>42156</v>
      </c>
      <c r="D1526" s="18" t="s">
        <v>76</v>
      </c>
      <c r="E1526" s="18" t="s">
        <v>59</v>
      </c>
      <c r="F1526" s="21">
        <v>432</v>
      </c>
    </row>
    <row r="1527" spans="2:6" x14ac:dyDescent="0.25">
      <c r="B1527" s="18" t="s">
        <v>10</v>
      </c>
      <c r="C1527" s="19">
        <f>39912+(3*365)</f>
        <v>41007</v>
      </c>
      <c r="D1527" s="18" t="s">
        <v>65</v>
      </c>
      <c r="E1527" s="18" t="s">
        <v>61</v>
      </c>
      <c r="F1527" s="21">
        <v>1120</v>
      </c>
    </row>
    <row r="1528" spans="2:6" x14ac:dyDescent="0.25">
      <c r="B1528" s="18" t="s">
        <v>31</v>
      </c>
      <c r="C1528" s="19">
        <f>40480+(3*365)</f>
        <v>41575</v>
      </c>
      <c r="D1528" s="18" t="s">
        <v>70</v>
      </c>
      <c r="E1528" s="18" t="s">
        <v>72</v>
      </c>
      <c r="F1528" s="21">
        <v>3000</v>
      </c>
    </row>
    <row r="1529" spans="2:6" x14ac:dyDescent="0.25">
      <c r="B1529" s="18" t="s">
        <v>21</v>
      </c>
      <c r="C1529" s="19">
        <f>41255+(3*365)</f>
        <v>42350</v>
      </c>
      <c r="D1529" s="18" t="s">
        <v>73</v>
      </c>
      <c r="E1529" s="18" t="s">
        <v>75</v>
      </c>
      <c r="F1529" s="21">
        <v>456</v>
      </c>
    </row>
    <row r="1530" spans="2:6" x14ac:dyDescent="0.25">
      <c r="B1530" s="18" t="s">
        <v>31</v>
      </c>
      <c r="C1530" s="19">
        <f>39870+(3*365)</f>
        <v>40965</v>
      </c>
      <c r="D1530" s="18" t="s">
        <v>70</v>
      </c>
      <c r="E1530" s="18" t="s">
        <v>69</v>
      </c>
      <c r="F1530" s="21">
        <v>4584</v>
      </c>
    </row>
    <row r="1531" spans="2:6" x14ac:dyDescent="0.25">
      <c r="B1531" s="18" t="s">
        <v>31</v>
      </c>
      <c r="C1531" s="19">
        <f>40102+(3*365)</f>
        <v>41197</v>
      </c>
      <c r="D1531" s="18" t="s">
        <v>70</v>
      </c>
      <c r="E1531" s="18" t="s">
        <v>61</v>
      </c>
      <c r="F1531" s="21">
        <v>966</v>
      </c>
    </row>
    <row r="1532" spans="2:6" x14ac:dyDescent="0.25">
      <c r="B1532" s="18" t="s">
        <v>31</v>
      </c>
      <c r="C1532" s="19">
        <f>40839+(3*365)</f>
        <v>41934</v>
      </c>
      <c r="D1532" s="18" t="s">
        <v>76</v>
      </c>
      <c r="E1532" s="18" t="s">
        <v>75</v>
      </c>
      <c r="F1532" s="21">
        <v>735</v>
      </c>
    </row>
    <row r="1533" spans="2:6" x14ac:dyDescent="0.25">
      <c r="B1533" s="18" t="s">
        <v>8</v>
      </c>
      <c r="C1533" s="19">
        <f>40167+(3*365)</f>
        <v>41262</v>
      </c>
      <c r="D1533" s="18" t="s">
        <v>81</v>
      </c>
      <c r="E1533" s="18" t="s">
        <v>66</v>
      </c>
      <c r="F1533" s="21">
        <v>504</v>
      </c>
    </row>
    <row r="1534" spans="2:6" x14ac:dyDescent="0.25">
      <c r="B1534" s="18" t="s">
        <v>25</v>
      </c>
      <c r="C1534" s="19">
        <f>40992+(3*365)</f>
        <v>42087</v>
      </c>
      <c r="D1534" s="18" t="s">
        <v>78</v>
      </c>
      <c r="E1534" s="18" t="s">
        <v>64</v>
      </c>
      <c r="F1534" s="21">
        <v>11376</v>
      </c>
    </row>
    <row r="1535" spans="2:6" x14ac:dyDescent="0.25">
      <c r="B1535" s="18" t="s">
        <v>25</v>
      </c>
      <c r="C1535" s="19">
        <f>41205+(3*365)</f>
        <v>42300</v>
      </c>
      <c r="D1535" s="18" t="s">
        <v>78</v>
      </c>
      <c r="E1535" s="18" t="s">
        <v>69</v>
      </c>
      <c r="F1535" s="21">
        <v>688</v>
      </c>
    </row>
    <row r="1536" spans="2:6" x14ac:dyDescent="0.25">
      <c r="B1536" s="18" t="s">
        <v>9</v>
      </c>
      <c r="C1536" s="19">
        <f>40564+(3*365)</f>
        <v>41659</v>
      </c>
      <c r="D1536" s="18" t="s">
        <v>80</v>
      </c>
      <c r="E1536" s="18" t="s">
        <v>63</v>
      </c>
      <c r="F1536" s="21">
        <v>288</v>
      </c>
    </row>
    <row r="1537" spans="2:6" x14ac:dyDescent="0.25">
      <c r="B1537" s="18" t="s">
        <v>31</v>
      </c>
      <c r="C1537" s="19">
        <f>41235+(3*365)</f>
        <v>42330</v>
      </c>
      <c r="D1537" s="18" t="s">
        <v>70</v>
      </c>
      <c r="E1537" s="18" t="s">
        <v>75</v>
      </c>
      <c r="F1537" s="21">
        <v>114</v>
      </c>
    </row>
    <row r="1538" spans="2:6" x14ac:dyDescent="0.25">
      <c r="B1538" s="18" t="s">
        <v>9</v>
      </c>
      <c r="C1538" s="19">
        <f>40718+(3*365)</f>
        <v>41813</v>
      </c>
      <c r="D1538" s="18" t="s">
        <v>80</v>
      </c>
      <c r="E1538" s="18" t="s">
        <v>75</v>
      </c>
      <c r="F1538" s="21">
        <v>351</v>
      </c>
    </row>
    <row r="1539" spans="2:6" x14ac:dyDescent="0.25">
      <c r="B1539" s="18" t="s">
        <v>21</v>
      </c>
      <c r="C1539" s="19">
        <f>40877+(3*365)</f>
        <v>41972</v>
      </c>
      <c r="D1539" s="18" t="s">
        <v>58</v>
      </c>
      <c r="E1539" s="18" t="s">
        <v>69</v>
      </c>
      <c r="F1539" s="21">
        <v>1044</v>
      </c>
    </row>
    <row r="1540" spans="2:6" x14ac:dyDescent="0.25">
      <c r="B1540" s="18" t="s">
        <v>9</v>
      </c>
      <c r="C1540" s="19">
        <f>41189+(3*365)</f>
        <v>42284</v>
      </c>
      <c r="D1540" s="18" t="s">
        <v>62</v>
      </c>
      <c r="E1540" s="18" t="s">
        <v>63</v>
      </c>
      <c r="F1540" s="21">
        <v>585</v>
      </c>
    </row>
    <row r="1541" spans="2:6" x14ac:dyDescent="0.25">
      <c r="B1541" s="18" t="s">
        <v>31</v>
      </c>
      <c r="C1541" s="19">
        <f>40352+(3*365)</f>
        <v>41447</v>
      </c>
      <c r="D1541" s="18" t="s">
        <v>70</v>
      </c>
      <c r="E1541" s="18" t="s">
        <v>59</v>
      </c>
      <c r="F1541" s="21">
        <v>513</v>
      </c>
    </row>
    <row r="1542" spans="2:6" x14ac:dyDescent="0.25">
      <c r="B1542" s="18" t="s">
        <v>18</v>
      </c>
      <c r="C1542" s="19">
        <f>40487+(3*365)</f>
        <v>41582</v>
      </c>
      <c r="D1542" s="18" t="s">
        <v>71</v>
      </c>
      <c r="E1542" s="18" t="s">
        <v>64</v>
      </c>
      <c r="F1542" s="21">
        <v>8829</v>
      </c>
    </row>
    <row r="1543" spans="2:6" x14ac:dyDescent="0.25">
      <c r="B1543" s="18" t="s">
        <v>10</v>
      </c>
      <c r="C1543" s="19">
        <f>40839+(3*365)</f>
        <v>41934</v>
      </c>
      <c r="D1543" s="18" t="s">
        <v>65</v>
      </c>
      <c r="E1543" s="18" t="s">
        <v>69</v>
      </c>
      <c r="F1543" s="21">
        <v>3078</v>
      </c>
    </row>
    <row r="1544" spans="2:6" x14ac:dyDescent="0.25">
      <c r="B1544" s="18" t="s">
        <v>21</v>
      </c>
      <c r="C1544" s="19">
        <f>40230+(3*365)</f>
        <v>41325</v>
      </c>
      <c r="D1544" s="18" t="s">
        <v>58</v>
      </c>
      <c r="E1544" s="18" t="s">
        <v>64</v>
      </c>
      <c r="F1544" s="21">
        <v>2570</v>
      </c>
    </row>
    <row r="1545" spans="2:6" x14ac:dyDescent="0.25">
      <c r="B1545" s="18" t="s">
        <v>11</v>
      </c>
      <c r="C1545" s="19">
        <f>40763+(3*365)</f>
        <v>41858</v>
      </c>
      <c r="D1545" s="18" t="s">
        <v>74</v>
      </c>
      <c r="E1545" s="18" t="s">
        <v>69</v>
      </c>
      <c r="F1545" s="21">
        <v>3510</v>
      </c>
    </row>
    <row r="1546" spans="2:6" x14ac:dyDescent="0.25">
      <c r="B1546" s="18" t="s">
        <v>10</v>
      </c>
      <c r="C1546" s="19">
        <f>41043+(3*365)</f>
        <v>42138</v>
      </c>
      <c r="D1546" s="18" t="s">
        <v>65</v>
      </c>
      <c r="E1546" s="18" t="s">
        <v>63</v>
      </c>
      <c r="F1546" s="21">
        <v>372</v>
      </c>
    </row>
    <row r="1547" spans="2:6" x14ac:dyDescent="0.25">
      <c r="B1547" s="18" t="s">
        <v>8</v>
      </c>
      <c r="C1547" s="19">
        <f>40497+(3*365)</f>
        <v>41592</v>
      </c>
      <c r="D1547" s="18" t="s">
        <v>77</v>
      </c>
      <c r="E1547" s="18" t="s">
        <v>59</v>
      </c>
      <c r="F1547" s="21">
        <v>768</v>
      </c>
    </row>
    <row r="1548" spans="2:6" x14ac:dyDescent="0.25">
      <c r="B1548" s="18" t="s">
        <v>31</v>
      </c>
      <c r="C1548" s="19">
        <f>40516+(3*365)</f>
        <v>41611</v>
      </c>
      <c r="D1548" s="18" t="s">
        <v>76</v>
      </c>
      <c r="E1548" s="18" t="s">
        <v>64</v>
      </c>
      <c r="F1548" s="21">
        <v>1407</v>
      </c>
    </row>
    <row r="1549" spans="2:6" x14ac:dyDescent="0.25">
      <c r="B1549" s="18" t="s">
        <v>8</v>
      </c>
      <c r="C1549" s="19">
        <f>40698+(3*365)</f>
        <v>41793</v>
      </c>
      <c r="D1549" s="18" t="s">
        <v>81</v>
      </c>
      <c r="E1549" s="18" t="s">
        <v>59</v>
      </c>
      <c r="F1549" s="21">
        <v>1056</v>
      </c>
    </row>
    <row r="1550" spans="2:6" x14ac:dyDescent="0.25">
      <c r="B1550" s="18" t="s">
        <v>31</v>
      </c>
      <c r="C1550" s="19">
        <f>40743+(3*365)</f>
        <v>41838</v>
      </c>
      <c r="D1550" s="18" t="s">
        <v>76</v>
      </c>
      <c r="E1550" s="18" t="s">
        <v>66</v>
      </c>
      <c r="F1550" s="21">
        <v>828</v>
      </c>
    </row>
    <row r="1551" spans="2:6" x14ac:dyDescent="0.25">
      <c r="B1551" s="18" t="s">
        <v>31</v>
      </c>
      <c r="C1551" s="19">
        <f>40974+(3*365)</f>
        <v>42069</v>
      </c>
      <c r="D1551" s="18" t="s">
        <v>76</v>
      </c>
      <c r="E1551" s="18" t="s">
        <v>64</v>
      </c>
      <c r="F1551" s="21">
        <v>1857</v>
      </c>
    </row>
    <row r="1552" spans="2:6" x14ac:dyDescent="0.25">
      <c r="B1552" s="18" t="s">
        <v>18</v>
      </c>
      <c r="C1552" s="19">
        <f>40248+(3*365)</f>
        <v>41343</v>
      </c>
      <c r="D1552" s="18" t="s">
        <v>71</v>
      </c>
      <c r="E1552" s="18" t="s">
        <v>66</v>
      </c>
      <c r="F1552" s="21">
        <v>1152</v>
      </c>
    </row>
    <row r="1553" spans="2:6" x14ac:dyDescent="0.25">
      <c r="B1553" s="18" t="s">
        <v>21</v>
      </c>
      <c r="C1553" s="19">
        <f>40334+(3*365)</f>
        <v>41429</v>
      </c>
      <c r="D1553" s="18" t="s">
        <v>73</v>
      </c>
      <c r="E1553" s="18" t="s">
        <v>59</v>
      </c>
      <c r="F1553" s="21">
        <v>192</v>
      </c>
    </row>
    <row r="1554" spans="2:6" x14ac:dyDescent="0.25">
      <c r="B1554" s="18" t="s">
        <v>18</v>
      </c>
      <c r="C1554" s="19">
        <f>39924+(3*365)</f>
        <v>41019</v>
      </c>
      <c r="D1554" s="18" t="s">
        <v>68</v>
      </c>
      <c r="E1554" s="18" t="s">
        <v>75</v>
      </c>
      <c r="F1554" s="21">
        <v>272</v>
      </c>
    </row>
    <row r="1555" spans="2:6" x14ac:dyDescent="0.25">
      <c r="B1555" s="18" t="s">
        <v>11</v>
      </c>
      <c r="C1555" s="19">
        <f>40587+(3*365)</f>
        <v>41682</v>
      </c>
      <c r="D1555" s="18" t="s">
        <v>74</v>
      </c>
      <c r="E1555" s="18" t="s">
        <v>64</v>
      </c>
      <c r="F1555" s="21">
        <v>10656</v>
      </c>
    </row>
    <row r="1556" spans="2:6" x14ac:dyDescent="0.25">
      <c r="B1556" s="18" t="s">
        <v>25</v>
      </c>
      <c r="C1556" s="19">
        <f>40166+(3*365)</f>
        <v>41261</v>
      </c>
      <c r="D1556" s="18" t="s">
        <v>78</v>
      </c>
      <c r="E1556" s="18" t="s">
        <v>72</v>
      </c>
      <c r="F1556" s="21">
        <v>1224</v>
      </c>
    </row>
    <row r="1557" spans="2:6" x14ac:dyDescent="0.25">
      <c r="B1557" s="18" t="s">
        <v>9</v>
      </c>
      <c r="C1557" s="19">
        <f>41105+(3*365)</f>
        <v>42200</v>
      </c>
      <c r="D1557" s="18" t="s">
        <v>80</v>
      </c>
      <c r="E1557" s="18" t="s">
        <v>59</v>
      </c>
      <c r="F1557" s="21">
        <v>42</v>
      </c>
    </row>
    <row r="1558" spans="2:6" x14ac:dyDescent="0.25">
      <c r="B1558" s="18" t="s">
        <v>9</v>
      </c>
      <c r="C1558" s="19">
        <f>41131+(3*365)</f>
        <v>42226</v>
      </c>
      <c r="D1558" s="18" t="s">
        <v>80</v>
      </c>
      <c r="E1558" s="18" t="s">
        <v>66</v>
      </c>
      <c r="F1558" s="21">
        <v>592</v>
      </c>
    </row>
    <row r="1559" spans="2:6" x14ac:dyDescent="0.25">
      <c r="B1559" s="18" t="s">
        <v>21</v>
      </c>
      <c r="C1559" s="19">
        <f>40453+(3*365)</f>
        <v>41548</v>
      </c>
      <c r="D1559" s="18" t="s">
        <v>58</v>
      </c>
      <c r="E1559" s="18" t="s">
        <v>63</v>
      </c>
      <c r="F1559" s="21">
        <v>570</v>
      </c>
    </row>
    <row r="1560" spans="2:6" x14ac:dyDescent="0.25">
      <c r="B1560" s="18" t="s">
        <v>18</v>
      </c>
      <c r="C1560" s="19">
        <f>40095+(3*365)</f>
        <v>41190</v>
      </c>
      <c r="D1560" s="18" t="s">
        <v>71</v>
      </c>
      <c r="E1560" s="18" t="s">
        <v>59</v>
      </c>
      <c r="F1560" s="21">
        <v>168</v>
      </c>
    </row>
    <row r="1561" spans="2:6" x14ac:dyDescent="0.25">
      <c r="B1561" s="18" t="s">
        <v>10</v>
      </c>
      <c r="C1561" s="19">
        <f>40627+(3*365)</f>
        <v>41722</v>
      </c>
      <c r="D1561" s="18" t="s">
        <v>67</v>
      </c>
      <c r="E1561" s="18" t="s">
        <v>59</v>
      </c>
      <c r="F1561" s="21">
        <v>120</v>
      </c>
    </row>
    <row r="1562" spans="2:6" x14ac:dyDescent="0.25">
      <c r="B1562" s="18" t="s">
        <v>11</v>
      </c>
      <c r="C1562" s="19">
        <f>41098+(3*365)</f>
        <v>42193</v>
      </c>
      <c r="D1562" s="18" t="s">
        <v>74</v>
      </c>
      <c r="E1562" s="18" t="s">
        <v>66</v>
      </c>
      <c r="F1562" s="21">
        <v>432</v>
      </c>
    </row>
    <row r="1563" spans="2:6" x14ac:dyDescent="0.25">
      <c r="B1563" s="18" t="s">
        <v>21</v>
      </c>
      <c r="C1563" s="19">
        <f>40468+(3*365)</f>
        <v>41563</v>
      </c>
      <c r="D1563" s="18" t="s">
        <v>58</v>
      </c>
      <c r="E1563" s="18" t="s">
        <v>72</v>
      </c>
      <c r="F1563" s="21">
        <v>1680</v>
      </c>
    </row>
    <row r="1564" spans="2:6" x14ac:dyDescent="0.25">
      <c r="B1564" s="18" t="s">
        <v>8</v>
      </c>
      <c r="C1564" s="19">
        <f>39915+(3*365)</f>
        <v>41010</v>
      </c>
      <c r="D1564" s="18" t="s">
        <v>81</v>
      </c>
      <c r="E1564" s="18" t="s">
        <v>63</v>
      </c>
      <c r="F1564" s="21">
        <v>1242</v>
      </c>
    </row>
    <row r="1565" spans="2:6" x14ac:dyDescent="0.25">
      <c r="B1565" s="18" t="s">
        <v>31</v>
      </c>
      <c r="C1565" s="19">
        <f>41268+(3*365)</f>
        <v>42363</v>
      </c>
      <c r="D1565" s="18" t="s">
        <v>70</v>
      </c>
      <c r="E1565" s="18" t="s">
        <v>63</v>
      </c>
      <c r="F1565" s="21">
        <v>990</v>
      </c>
    </row>
    <row r="1566" spans="2:6" x14ac:dyDescent="0.25">
      <c r="B1566" s="18" t="s">
        <v>8</v>
      </c>
      <c r="C1566" s="19">
        <f>39993+(3*365)</f>
        <v>41088</v>
      </c>
      <c r="D1566" s="18" t="s">
        <v>77</v>
      </c>
      <c r="E1566" s="18" t="s">
        <v>69</v>
      </c>
      <c r="F1566" s="21">
        <v>597</v>
      </c>
    </row>
    <row r="1567" spans="2:6" x14ac:dyDescent="0.25">
      <c r="B1567" s="18" t="s">
        <v>18</v>
      </c>
      <c r="C1567" s="19">
        <f>40931+(3*365)</f>
        <v>42026</v>
      </c>
      <c r="D1567" s="18" t="s">
        <v>71</v>
      </c>
      <c r="E1567" s="18" t="s">
        <v>63</v>
      </c>
      <c r="F1567" s="21">
        <v>138</v>
      </c>
    </row>
    <row r="1568" spans="2:6" x14ac:dyDescent="0.25">
      <c r="B1568" s="18" t="s">
        <v>8</v>
      </c>
      <c r="C1568" s="19">
        <f>40224+(3*365)</f>
        <v>41319</v>
      </c>
      <c r="D1568" s="18" t="s">
        <v>77</v>
      </c>
      <c r="E1568" s="18" t="s">
        <v>72</v>
      </c>
      <c r="F1568" s="21">
        <v>1680</v>
      </c>
    </row>
    <row r="1569" spans="2:6" x14ac:dyDescent="0.25">
      <c r="B1569" s="18" t="s">
        <v>9</v>
      </c>
      <c r="C1569" s="19">
        <f>40558+(3*365)</f>
        <v>41653</v>
      </c>
      <c r="D1569" s="18" t="s">
        <v>62</v>
      </c>
      <c r="E1569" s="18" t="s">
        <v>75</v>
      </c>
      <c r="F1569" s="21">
        <v>378</v>
      </c>
    </row>
    <row r="1570" spans="2:6" x14ac:dyDescent="0.25">
      <c r="B1570" s="18" t="s">
        <v>9</v>
      </c>
      <c r="C1570" s="19">
        <f>39893+(3*365)</f>
        <v>40988</v>
      </c>
      <c r="D1570" s="18" t="s">
        <v>80</v>
      </c>
      <c r="E1570" s="18" t="s">
        <v>61</v>
      </c>
      <c r="F1570" s="21">
        <v>468</v>
      </c>
    </row>
    <row r="1571" spans="2:6" x14ac:dyDescent="0.25">
      <c r="B1571" s="18" t="s">
        <v>18</v>
      </c>
      <c r="C1571" s="19">
        <f>40839+(3*365)</f>
        <v>41934</v>
      </c>
      <c r="D1571" s="18" t="s">
        <v>71</v>
      </c>
      <c r="E1571" s="18" t="s">
        <v>69</v>
      </c>
      <c r="F1571" s="21">
        <v>5656</v>
      </c>
    </row>
    <row r="1572" spans="2:6" x14ac:dyDescent="0.25">
      <c r="B1572" s="18" t="s">
        <v>18</v>
      </c>
      <c r="C1572" s="19">
        <f>40188+(3*365)</f>
        <v>41283</v>
      </c>
      <c r="D1572" s="18" t="s">
        <v>68</v>
      </c>
      <c r="E1572" s="18" t="s">
        <v>72</v>
      </c>
      <c r="F1572" s="21">
        <v>2133</v>
      </c>
    </row>
    <row r="1573" spans="2:6" x14ac:dyDescent="0.25">
      <c r="B1573" s="18" t="s">
        <v>11</v>
      </c>
      <c r="C1573" s="19">
        <f>39970+(3*365)</f>
        <v>41065</v>
      </c>
      <c r="D1573" s="18" t="s">
        <v>74</v>
      </c>
      <c r="E1573" s="18" t="s">
        <v>75</v>
      </c>
      <c r="F1573" s="21">
        <v>132</v>
      </c>
    </row>
    <row r="1574" spans="2:6" x14ac:dyDescent="0.25">
      <c r="B1574" s="18" t="s">
        <v>25</v>
      </c>
      <c r="C1574" s="19">
        <f>40360+(3*365)</f>
        <v>41455</v>
      </c>
      <c r="D1574" s="18" t="s">
        <v>78</v>
      </c>
      <c r="E1574" s="18" t="s">
        <v>63</v>
      </c>
      <c r="F1574" s="21">
        <v>1134</v>
      </c>
    </row>
    <row r="1575" spans="2:6" x14ac:dyDescent="0.25">
      <c r="B1575" s="18" t="s">
        <v>10</v>
      </c>
      <c r="C1575" s="19">
        <f>40034+(3*365)</f>
        <v>41129</v>
      </c>
      <c r="D1575" s="18" t="s">
        <v>65</v>
      </c>
      <c r="E1575" s="18" t="s">
        <v>64</v>
      </c>
      <c r="F1575" s="21">
        <v>8704</v>
      </c>
    </row>
    <row r="1576" spans="2:6" x14ac:dyDescent="0.25">
      <c r="B1576" s="18" t="s">
        <v>31</v>
      </c>
      <c r="C1576" s="19">
        <f>40049+(3*365)</f>
        <v>41144</v>
      </c>
      <c r="D1576" s="18" t="s">
        <v>70</v>
      </c>
      <c r="E1576" s="18" t="s">
        <v>75</v>
      </c>
      <c r="F1576" s="21">
        <v>666</v>
      </c>
    </row>
    <row r="1577" spans="2:6" x14ac:dyDescent="0.25">
      <c r="B1577" s="18" t="s">
        <v>18</v>
      </c>
      <c r="C1577" s="19">
        <f>40492+(3*365)</f>
        <v>41587</v>
      </c>
      <c r="D1577" s="18" t="s">
        <v>68</v>
      </c>
      <c r="E1577" s="18" t="s">
        <v>72</v>
      </c>
      <c r="F1577" s="21">
        <v>5376</v>
      </c>
    </row>
    <row r="1578" spans="2:6" x14ac:dyDescent="0.25">
      <c r="B1578" s="18" t="s">
        <v>21</v>
      </c>
      <c r="C1578" s="19">
        <f>41053+(3*365)</f>
        <v>42148</v>
      </c>
      <c r="D1578" s="18" t="s">
        <v>58</v>
      </c>
      <c r="E1578" s="18" t="s">
        <v>69</v>
      </c>
      <c r="F1578" s="21">
        <v>500</v>
      </c>
    </row>
    <row r="1579" spans="2:6" x14ac:dyDescent="0.25">
      <c r="B1579" s="18" t="s">
        <v>9</v>
      </c>
      <c r="C1579" s="19">
        <f>40650+(3*365)</f>
        <v>41745</v>
      </c>
      <c r="D1579" s="18" t="s">
        <v>62</v>
      </c>
      <c r="E1579" s="18" t="s">
        <v>61</v>
      </c>
      <c r="F1579" s="21">
        <v>1188</v>
      </c>
    </row>
    <row r="1580" spans="2:6" x14ac:dyDescent="0.25">
      <c r="B1580" s="18" t="s">
        <v>21</v>
      </c>
      <c r="C1580" s="19">
        <f>40653+(3*365)</f>
        <v>41748</v>
      </c>
      <c r="D1580" s="18" t="s">
        <v>73</v>
      </c>
      <c r="E1580" s="18" t="s">
        <v>59</v>
      </c>
      <c r="F1580" s="21">
        <v>252</v>
      </c>
    </row>
    <row r="1581" spans="2:6" x14ac:dyDescent="0.25">
      <c r="B1581" s="18" t="s">
        <v>11</v>
      </c>
      <c r="C1581" s="19">
        <f>40467+(3*365)</f>
        <v>41562</v>
      </c>
      <c r="D1581" s="18" t="s">
        <v>60</v>
      </c>
      <c r="E1581" s="18" t="s">
        <v>64</v>
      </c>
      <c r="F1581" s="21">
        <v>5460</v>
      </c>
    </row>
    <row r="1582" spans="2:6" x14ac:dyDescent="0.25">
      <c r="B1582" s="18" t="s">
        <v>31</v>
      </c>
      <c r="C1582" s="19">
        <f>40172+(3*365)</f>
        <v>41267</v>
      </c>
      <c r="D1582" s="18" t="s">
        <v>70</v>
      </c>
      <c r="E1582" s="18" t="s">
        <v>64</v>
      </c>
      <c r="F1582" s="21">
        <v>13398</v>
      </c>
    </row>
    <row r="1583" spans="2:6" x14ac:dyDescent="0.25">
      <c r="B1583" s="18" t="s">
        <v>8</v>
      </c>
      <c r="C1583" s="19">
        <f>40316+(3*365)</f>
        <v>41411</v>
      </c>
      <c r="D1583" s="18" t="s">
        <v>77</v>
      </c>
      <c r="E1583" s="18" t="s">
        <v>63</v>
      </c>
      <c r="F1583" s="21">
        <v>1848</v>
      </c>
    </row>
    <row r="1584" spans="2:6" x14ac:dyDescent="0.25">
      <c r="B1584" s="18" t="s">
        <v>9</v>
      </c>
      <c r="C1584" s="19">
        <f>39990+(3*365)</f>
        <v>41085</v>
      </c>
      <c r="D1584" s="18" t="s">
        <v>62</v>
      </c>
      <c r="E1584" s="18" t="s">
        <v>63</v>
      </c>
      <c r="F1584" s="21">
        <v>132</v>
      </c>
    </row>
    <row r="1585" spans="2:6" x14ac:dyDescent="0.25">
      <c r="B1585" s="18" t="s">
        <v>31</v>
      </c>
      <c r="C1585" s="19">
        <f>40838+(3*365)</f>
        <v>41933</v>
      </c>
      <c r="D1585" s="18" t="s">
        <v>76</v>
      </c>
      <c r="E1585" s="18" t="s">
        <v>66</v>
      </c>
      <c r="F1585" s="21">
        <v>1050</v>
      </c>
    </row>
    <row r="1586" spans="2:6" x14ac:dyDescent="0.25">
      <c r="B1586" s="18" t="s">
        <v>8</v>
      </c>
      <c r="C1586" s="19">
        <f>40060+(3*365)</f>
        <v>41155</v>
      </c>
      <c r="D1586" s="18" t="s">
        <v>81</v>
      </c>
      <c r="E1586" s="18" t="s">
        <v>59</v>
      </c>
      <c r="F1586" s="21">
        <v>408</v>
      </c>
    </row>
    <row r="1587" spans="2:6" x14ac:dyDescent="0.25">
      <c r="B1587" s="18" t="s">
        <v>11</v>
      </c>
      <c r="C1587" s="19">
        <f>40246+(3*365)</f>
        <v>41341</v>
      </c>
      <c r="D1587" s="18" t="s">
        <v>74</v>
      </c>
      <c r="E1587" s="18" t="s">
        <v>61</v>
      </c>
      <c r="F1587" s="21">
        <v>810</v>
      </c>
    </row>
    <row r="1588" spans="2:6" x14ac:dyDescent="0.25">
      <c r="B1588" s="18" t="s">
        <v>9</v>
      </c>
      <c r="C1588" s="19">
        <f>39942+(3*365)</f>
        <v>41037</v>
      </c>
      <c r="D1588" s="18" t="s">
        <v>62</v>
      </c>
      <c r="E1588" s="18" t="s">
        <v>75</v>
      </c>
      <c r="F1588" s="21">
        <v>40</v>
      </c>
    </row>
    <row r="1589" spans="2:6" x14ac:dyDescent="0.25">
      <c r="B1589" s="18" t="s">
        <v>31</v>
      </c>
      <c r="C1589" s="19">
        <f>40458+(3*365)</f>
        <v>41553</v>
      </c>
      <c r="D1589" s="18" t="s">
        <v>76</v>
      </c>
      <c r="E1589" s="18" t="s">
        <v>69</v>
      </c>
      <c r="F1589" s="21">
        <v>984</v>
      </c>
    </row>
    <row r="1590" spans="2:6" x14ac:dyDescent="0.25">
      <c r="B1590" s="18" t="s">
        <v>31</v>
      </c>
      <c r="C1590" s="19">
        <f>40910+(3*365)</f>
        <v>42005</v>
      </c>
      <c r="D1590" s="18" t="s">
        <v>70</v>
      </c>
      <c r="E1590" s="18" t="s">
        <v>75</v>
      </c>
      <c r="F1590" s="21">
        <v>105</v>
      </c>
    </row>
    <row r="1591" spans="2:6" x14ac:dyDescent="0.25">
      <c r="B1591" s="18" t="s">
        <v>10</v>
      </c>
      <c r="C1591" s="19">
        <f>40690+(3*365)</f>
        <v>41785</v>
      </c>
      <c r="D1591" s="18" t="s">
        <v>65</v>
      </c>
      <c r="E1591" s="18" t="s">
        <v>63</v>
      </c>
      <c r="F1591" s="21">
        <v>360</v>
      </c>
    </row>
    <row r="1592" spans="2:6" x14ac:dyDescent="0.25">
      <c r="B1592" s="18" t="s">
        <v>11</v>
      </c>
      <c r="C1592" s="19">
        <f>40262+(3*365)</f>
        <v>41357</v>
      </c>
      <c r="D1592" s="18" t="s">
        <v>60</v>
      </c>
      <c r="E1592" s="18" t="s">
        <v>69</v>
      </c>
      <c r="F1592" s="21">
        <v>2178</v>
      </c>
    </row>
    <row r="1593" spans="2:6" x14ac:dyDescent="0.25">
      <c r="B1593" s="18" t="s">
        <v>25</v>
      </c>
      <c r="C1593" s="19">
        <f>40733+(3*365)</f>
        <v>41828</v>
      </c>
      <c r="D1593" s="18" t="s">
        <v>78</v>
      </c>
      <c r="E1593" s="18" t="s">
        <v>64</v>
      </c>
      <c r="F1593" s="21">
        <v>25776</v>
      </c>
    </row>
    <row r="1594" spans="2:6" x14ac:dyDescent="0.25">
      <c r="B1594" s="18" t="s">
        <v>21</v>
      </c>
      <c r="C1594" s="19">
        <f>39949+(3*365)</f>
        <v>41044</v>
      </c>
      <c r="D1594" s="18" t="s">
        <v>73</v>
      </c>
      <c r="E1594" s="18" t="s">
        <v>63</v>
      </c>
      <c r="F1594" s="21">
        <v>512</v>
      </c>
    </row>
    <row r="1595" spans="2:6" x14ac:dyDescent="0.25">
      <c r="B1595" s="18" t="s">
        <v>8</v>
      </c>
      <c r="C1595" s="19">
        <f>39988+(3*365)</f>
        <v>41083</v>
      </c>
      <c r="D1595" s="18" t="s">
        <v>81</v>
      </c>
      <c r="E1595" s="18" t="s">
        <v>66</v>
      </c>
      <c r="F1595" s="21">
        <v>1134</v>
      </c>
    </row>
    <row r="1596" spans="2:6" x14ac:dyDescent="0.25">
      <c r="B1596" s="18" t="s">
        <v>8</v>
      </c>
      <c r="C1596" s="19">
        <f>41135+(3*365)</f>
        <v>42230</v>
      </c>
      <c r="D1596" s="18" t="s">
        <v>81</v>
      </c>
      <c r="E1596" s="18" t="s">
        <v>69</v>
      </c>
      <c r="F1596" s="21">
        <v>1040</v>
      </c>
    </row>
    <row r="1597" spans="2:6" x14ac:dyDescent="0.25">
      <c r="B1597" s="18" t="s">
        <v>31</v>
      </c>
      <c r="C1597" s="19">
        <f>41059+(3*365)</f>
        <v>42154</v>
      </c>
      <c r="D1597" s="18" t="s">
        <v>70</v>
      </c>
      <c r="E1597" s="18" t="s">
        <v>61</v>
      </c>
      <c r="F1597" s="21">
        <v>192</v>
      </c>
    </row>
    <row r="1598" spans="2:6" x14ac:dyDescent="0.25">
      <c r="B1598" s="18" t="s">
        <v>8</v>
      </c>
      <c r="C1598" s="19">
        <f>40411+(3*365)</f>
        <v>41506</v>
      </c>
      <c r="D1598" s="18" t="s">
        <v>81</v>
      </c>
      <c r="E1598" s="18" t="s">
        <v>69</v>
      </c>
      <c r="F1598" s="21">
        <v>212</v>
      </c>
    </row>
    <row r="1599" spans="2:6" x14ac:dyDescent="0.25">
      <c r="B1599" s="18" t="s">
        <v>10</v>
      </c>
      <c r="C1599" s="19">
        <f>41067+(3*365)</f>
        <v>42162</v>
      </c>
      <c r="D1599" s="18" t="s">
        <v>65</v>
      </c>
      <c r="E1599" s="18" t="s">
        <v>72</v>
      </c>
      <c r="F1599" s="21">
        <v>2088</v>
      </c>
    </row>
    <row r="1600" spans="2:6" x14ac:dyDescent="0.25">
      <c r="B1600" s="18" t="s">
        <v>21</v>
      </c>
      <c r="C1600" s="19">
        <f>40974+(3*365)</f>
        <v>42069</v>
      </c>
      <c r="D1600" s="18" t="s">
        <v>58</v>
      </c>
      <c r="E1600" s="18" t="s">
        <v>61</v>
      </c>
      <c r="F1600" s="21">
        <v>456</v>
      </c>
    </row>
    <row r="1601" spans="2:6" x14ac:dyDescent="0.25">
      <c r="B1601" s="18" t="s">
        <v>8</v>
      </c>
      <c r="C1601" s="19">
        <f>41140+(3*365)</f>
        <v>42235</v>
      </c>
      <c r="D1601" s="18" t="s">
        <v>77</v>
      </c>
      <c r="E1601" s="18" t="s">
        <v>72</v>
      </c>
      <c r="F1601" s="21">
        <v>756</v>
      </c>
    </row>
    <row r="1602" spans="2:6" x14ac:dyDescent="0.25">
      <c r="B1602" s="18" t="s">
        <v>9</v>
      </c>
      <c r="C1602" s="19">
        <f>40458+(3*365)</f>
        <v>41553</v>
      </c>
      <c r="D1602" s="18" t="s">
        <v>80</v>
      </c>
      <c r="E1602" s="18" t="s">
        <v>75</v>
      </c>
      <c r="F1602" s="21">
        <v>300</v>
      </c>
    </row>
    <row r="1603" spans="2:6" x14ac:dyDescent="0.25">
      <c r="B1603" s="18" t="s">
        <v>25</v>
      </c>
      <c r="C1603" s="19">
        <f>40848+(3*365)</f>
        <v>41943</v>
      </c>
      <c r="D1603" s="18" t="s">
        <v>79</v>
      </c>
      <c r="E1603" s="18" t="s">
        <v>66</v>
      </c>
      <c r="F1603" s="21">
        <v>760</v>
      </c>
    </row>
    <row r="1604" spans="2:6" x14ac:dyDescent="0.25">
      <c r="B1604" s="18" t="s">
        <v>11</v>
      </c>
      <c r="C1604" s="19">
        <f>40393+(3*365)</f>
        <v>41488</v>
      </c>
      <c r="D1604" s="18" t="s">
        <v>60</v>
      </c>
      <c r="E1604" s="18" t="s">
        <v>69</v>
      </c>
      <c r="F1604" s="21">
        <v>840</v>
      </c>
    </row>
    <row r="1605" spans="2:6" x14ac:dyDescent="0.25">
      <c r="B1605" s="18" t="s">
        <v>10</v>
      </c>
      <c r="C1605" s="19">
        <f>40263+(3*365)</f>
        <v>41358</v>
      </c>
      <c r="D1605" s="18" t="s">
        <v>67</v>
      </c>
      <c r="E1605" s="18" t="s">
        <v>69</v>
      </c>
      <c r="F1605" s="21">
        <v>1116</v>
      </c>
    </row>
    <row r="1606" spans="2:6" x14ac:dyDescent="0.25">
      <c r="B1606" s="18" t="s">
        <v>31</v>
      </c>
      <c r="C1606" s="19">
        <f>40789+(3*365)</f>
        <v>41884</v>
      </c>
      <c r="D1606" s="18" t="s">
        <v>70</v>
      </c>
      <c r="E1606" s="18" t="s">
        <v>59</v>
      </c>
      <c r="F1606" s="21">
        <v>342</v>
      </c>
    </row>
    <row r="1607" spans="2:6" x14ac:dyDescent="0.25">
      <c r="B1607" s="18" t="s">
        <v>25</v>
      </c>
      <c r="C1607" s="19">
        <f>40832+(3*365)</f>
        <v>41927</v>
      </c>
      <c r="D1607" s="18" t="s">
        <v>79</v>
      </c>
      <c r="E1607" s="18" t="s">
        <v>72</v>
      </c>
      <c r="F1607" s="21">
        <v>4740</v>
      </c>
    </row>
    <row r="1608" spans="2:6" x14ac:dyDescent="0.25">
      <c r="B1608" s="18" t="s">
        <v>9</v>
      </c>
      <c r="C1608" s="19">
        <f>41273+(3*365)</f>
        <v>42368</v>
      </c>
      <c r="D1608" s="18" t="s">
        <v>80</v>
      </c>
      <c r="E1608" s="18" t="s">
        <v>63</v>
      </c>
      <c r="F1608" s="21">
        <v>270</v>
      </c>
    </row>
    <row r="1609" spans="2:6" x14ac:dyDescent="0.25">
      <c r="B1609" s="18" t="s">
        <v>18</v>
      </c>
      <c r="C1609" s="19">
        <f>41133+(3*365)</f>
        <v>42228</v>
      </c>
      <c r="D1609" s="18" t="s">
        <v>71</v>
      </c>
      <c r="E1609" s="18" t="s">
        <v>69</v>
      </c>
      <c r="F1609" s="21">
        <v>5400</v>
      </c>
    </row>
    <row r="1610" spans="2:6" x14ac:dyDescent="0.25">
      <c r="B1610" s="18" t="s">
        <v>31</v>
      </c>
      <c r="C1610" s="19">
        <f>41074+(3*365)</f>
        <v>42169</v>
      </c>
      <c r="D1610" s="18" t="s">
        <v>76</v>
      </c>
      <c r="E1610" s="18" t="s">
        <v>69</v>
      </c>
      <c r="F1610" s="21">
        <v>2457</v>
      </c>
    </row>
    <row r="1611" spans="2:6" x14ac:dyDescent="0.25">
      <c r="B1611" s="18" t="s">
        <v>11</v>
      </c>
      <c r="C1611" s="19">
        <f>41084+(3*365)</f>
        <v>42179</v>
      </c>
      <c r="D1611" s="18" t="s">
        <v>60</v>
      </c>
      <c r="E1611" s="18" t="s">
        <v>61</v>
      </c>
      <c r="F1611" s="21">
        <v>1260</v>
      </c>
    </row>
    <row r="1612" spans="2:6" x14ac:dyDescent="0.25">
      <c r="B1612" s="18" t="s">
        <v>8</v>
      </c>
      <c r="C1612" s="19">
        <f>40454+(3*365)</f>
        <v>41549</v>
      </c>
      <c r="D1612" s="18" t="s">
        <v>81</v>
      </c>
      <c r="E1612" s="18" t="s">
        <v>63</v>
      </c>
      <c r="F1612" s="21">
        <v>384</v>
      </c>
    </row>
    <row r="1613" spans="2:6" x14ac:dyDescent="0.25">
      <c r="B1613" s="18" t="s">
        <v>31</v>
      </c>
      <c r="C1613" s="19">
        <f>40377+(3*365)</f>
        <v>41472</v>
      </c>
      <c r="D1613" s="18" t="s">
        <v>76</v>
      </c>
      <c r="E1613" s="18" t="s">
        <v>75</v>
      </c>
      <c r="F1613" s="21">
        <v>672</v>
      </c>
    </row>
    <row r="1614" spans="2:6" x14ac:dyDescent="0.25">
      <c r="B1614" s="18" t="s">
        <v>25</v>
      </c>
      <c r="C1614" s="19">
        <f>40162+(3*365)</f>
        <v>41257</v>
      </c>
      <c r="D1614" s="18" t="s">
        <v>79</v>
      </c>
      <c r="E1614" s="18" t="s">
        <v>72</v>
      </c>
      <c r="F1614" s="21">
        <v>2072</v>
      </c>
    </row>
    <row r="1615" spans="2:6" x14ac:dyDescent="0.25">
      <c r="B1615" s="18" t="s">
        <v>25</v>
      </c>
      <c r="C1615" s="19">
        <f>40886+(3*365)</f>
        <v>41981</v>
      </c>
      <c r="D1615" s="18" t="s">
        <v>78</v>
      </c>
      <c r="E1615" s="18" t="s">
        <v>66</v>
      </c>
      <c r="F1615" s="21">
        <v>264</v>
      </c>
    </row>
    <row r="1616" spans="2:6" x14ac:dyDescent="0.25">
      <c r="B1616" s="18" t="s">
        <v>25</v>
      </c>
      <c r="C1616" s="19">
        <f>40008+(3*365)</f>
        <v>41103</v>
      </c>
      <c r="D1616" s="18" t="s">
        <v>79</v>
      </c>
      <c r="E1616" s="18" t="s">
        <v>61</v>
      </c>
      <c r="F1616" s="21">
        <v>672</v>
      </c>
    </row>
    <row r="1617" spans="2:6" x14ac:dyDescent="0.25">
      <c r="B1617" s="18" t="s">
        <v>31</v>
      </c>
      <c r="C1617" s="19">
        <f>40823+(3*365)</f>
        <v>41918</v>
      </c>
      <c r="D1617" s="18" t="s">
        <v>70</v>
      </c>
      <c r="E1617" s="18" t="s">
        <v>59</v>
      </c>
      <c r="F1617" s="21">
        <v>270</v>
      </c>
    </row>
    <row r="1618" spans="2:6" x14ac:dyDescent="0.25">
      <c r="B1618" s="18" t="s">
        <v>31</v>
      </c>
      <c r="C1618" s="19">
        <f>41032+(3*365)</f>
        <v>42127</v>
      </c>
      <c r="D1618" s="18" t="s">
        <v>76</v>
      </c>
      <c r="E1618" s="18" t="s">
        <v>75</v>
      </c>
      <c r="F1618" s="21">
        <v>297</v>
      </c>
    </row>
    <row r="1619" spans="2:6" x14ac:dyDescent="0.25">
      <c r="B1619" s="18" t="s">
        <v>21</v>
      </c>
      <c r="C1619" s="19">
        <f>40684+(3*365)</f>
        <v>41779</v>
      </c>
      <c r="D1619" s="18" t="s">
        <v>58</v>
      </c>
      <c r="E1619" s="18" t="s">
        <v>64</v>
      </c>
      <c r="F1619" s="21">
        <v>14448</v>
      </c>
    </row>
    <row r="1620" spans="2:6" x14ac:dyDescent="0.25">
      <c r="B1620" s="18" t="s">
        <v>18</v>
      </c>
      <c r="C1620" s="19">
        <f>40088+(3*365)</f>
        <v>41183</v>
      </c>
      <c r="D1620" s="18" t="s">
        <v>71</v>
      </c>
      <c r="E1620" s="18" t="s">
        <v>75</v>
      </c>
      <c r="F1620" s="21">
        <v>448</v>
      </c>
    </row>
    <row r="1621" spans="2:6" x14ac:dyDescent="0.25">
      <c r="B1621" s="18" t="s">
        <v>11</v>
      </c>
      <c r="C1621" s="19">
        <f>40896+(3*365)</f>
        <v>41991</v>
      </c>
      <c r="D1621" s="18" t="s">
        <v>74</v>
      </c>
      <c r="E1621" s="18" t="s">
        <v>64</v>
      </c>
      <c r="F1621" s="21">
        <v>12123</v>
      </c>
    </row>
    <row r="1622" spans="2:6" x14ac:dyDescent="0.25">
      <c r="B1622" s="18" t="s">
        <v>11</v>
      </c>
      <c r="C1622" s="19">
        <f>40515+(3*365)</f>
        <v>41610</v>
      </c>
      <c r="D1622" s="18" t="s">
        <v>74</v>
      </c>
      <c r="E1622" s="18" t="s">
        <v>72</v>
      </c>
      <c r="F1622" s="21">
        <v>1170</v>
      </c>
    </row>
    <row r="1623" spans="2:6" x14ac:dyDescent="0.25">
      <c r="B1623" s="18" t="s">
        <v>25</v>
      </c>
      <c r="C1623" s="19">
        <f>40895+(3*365)</f>
        <v>41990</v>
      </c>
      <c r="D1623" s="18" t="s">
        <v>78</v>
      </c>
      <c r="E1623" s="18" t="s">
        <v>64</v>
      </c>
      <c r="F1623" s="21">
        <v>8232</v>
      </c>
    </row>
    <row r="1624" spans="2:6" x14ac:dyDescent="0.25">
      <c r="B1624" s="18" t="s">
        <v>9</v>
      </c>
      <c r="C1624" s="19">
        <f>40540+(3*365)</f>
        <v>41635</v>
      </c>
      <c r="D1624" s="18" t="s">
        <v>80</v>
      </c>
      <c r="E1624" s="18" t="s">
        <v>69</v>
      </c>
      <c r="F1624" s="21">
        <v>336</v>
      </c>
    </row>
    <row r="1625" spans="2:6" x14ac:dyDescent="0.25">
      <c r="B1625" s="18" t="s">
        <v>9</v>
      </c>
      <c r="C1625" s="19">
        <f>41237+(3*365)</f>
        <v>42332</v>
      </c>
      <c r="D1625" s="18" t="s">
        <v>80</v>
      </c>
      <c r="E1625" s="18" t="s">
        <v>69</v>
      </c>
      <c r="F1625" s="21">
        <v>792</v>
      </c>
    </row>
    <row r="1626" spans="2:6" x14ac:dyDescent="0.25">
      <c r="B1626" s="18" t="s">
        <v>31</v>
      </c>
      <c r="C1626" s="19">
        <f>41031+(3*365)</f>
        <v>42126</v>
      </c>
      <c r="D1626" s="18" t="s">
        <v>70</v>
      </c>
      <c r="E1626" s="18" t="s">
        <v>63</v>
      </c>
      <c r="F1626" s="21">
        <v>450</v>
      </c>
    </row>
    <row r="1627" spans="2:6" x14ac:dyDescent="0.25">
      <c r="B1627" s="18" t="s">
        <v>18</v>
      </c>
      <c r="C1627" s="19">
        <f>40191+(3*365)</f>
        <v>41286</v>
      </c>
      <c r="D1627" s="18" t="s">
        <v>71</v>
      </c>
      <c r="E1627" s="18" t="s">
        <v>63</v>
      </c>
      <c r="F1627" s="21">
        <v>1035</v>
      </c>
    </row>
    <row r="1628" spans="2:6" x14ac:dyDescent="0.25">
      <c r="B1628" s="18" t="s">
        <v>31</v>
      </c>
      <c r="C1628" s="19">
        <f>40930+(3*365)</f>
        <v>42025</v>
      </c>
      <c r="D1628" s="18" t="s">
        <v>70</v>
      </c>
      <c r="E1628" s="18" t="s">
        <v>59</v>
      </c>
      <c r="F1628" s="21">
        <v>756</v>
      </c>
    </row>
    <row r="1629" spans="2:6" x14ac:dyDescent="0.25">
      <c r="B1629" s="18" t="s">
        <v>25</v>
      </c>
      <c r="C1629" s="19">
        <f>40293+(3*365)</f>
        <v>41388</v>
      </c>
      <c r="D1629" s="18" t="s">
        <v>79</v>
      </c>
      <c r="E1629" s="18" t="s">
        <v>64</v>
      </c>
      <c r="F1629" s="21">
        <v>11991</v>
      </c>
    </row>
    <row r="1630" spans="2:6" x14ac:dyDescent="0.25">
      <c r="B1630" s="18" t="s">
        <v>8</v>
      </c>
      <c r="C1630" s="19">
        <f>40056+(3*365)</f>
        <v>41151</v>
      </c>
      <c r="D1630" s="18" t="s">
        <v>77</v>
      </c>
      <c r="E1630" s="18" t="s">
        <v>66</v>
      </c>
      <c r="F1630" s="21">
        <v>1992</v>
      </c>
    </row>
    <row r="1631" spans="2:6" x14ac:dyDescent="0.25">
      <c r="B1631" s="18" t="s">
        <v>8</v>
      </c>
      <c r="C1631" s="19">
        <f>40718+(3*365)</f>
        <v>41813</v>
      </c>
      <c r="D1631" s="18" t="s">
        <v>77</v>
      </c>
      <c r="E1631" s="18" t="s">
        <v>63</v>
      </c>
      <c r="F1631" s="21">
        <v>608</v>
      </c>
    </row>
    <row r="1632" spans="2:6" x14ac:dyDescent="0.25">
      <c r="B1632" s="18" t="s">
        <v>8</v>
      </c>
      <c r="C1632" s="19">
        <f>39960+(3*365)</f>
        <v>41055</v>
      </c>
      <c r="D1632" s="18" t="s">
        <v>81</v>
      </c>
      <c r="E1632" s="18" t="s">
        <v>59</v>
      </c>
      <c r="F1632" s="21">
        <v>84</v>
      </c>
    </row>
    <row r="1633" spans="2:6" x14ac:dyDescent="0.25">
      <c r="B1633" s="18" t="s">
        <v>11</v>
      </c>
      <c r="C1633" s="19">
        <f>39919+(3*365)</f>
        <v>41014</v>
      </c>
      <c r="D1633" s="18" t="s">
        <v>60</v>
      </c>
      <c r="E1633" s="18" t="s">
        <v>72</v>
      </c>
      <c r="F1633" s="21">
        <v>498</v>
      </c>
    </row>
    <row r="1634" spans="2:6" x14ac:dyDescent="0.25">
      <c r="B1634" s="18" t="s">
        <v>25</v>
      </c>
      <c r="C1634" s="19">
        <f>41005+(3*365)</f>
        <v>42100</v>
      </c>
      <c r="D1634" s="18" t="s">
        <v>79</v>
      </c>
      <c r="E1634" s="18" t="s">
        <v>72</v>
      </c>
      <c r="F1634" s="21">
        <v>3582</v>
      </c>
    </row>
    <row r="1635" spans="2:6" x14ac:dyDescent="0.25">
      <c r="B1635" s="18" t="s">
        <v>25</v>
      </c>
      <c r="C1635" s="19">
        <f>39938+(3*365)</f>
        <v>41033</v>
      </c>
      <c r="D1635" s="18" t="s">
        <v>78</v>
      </c>
      <c r="E1635" s="18" t="s">
        <v>59</v>
      </c>
      <c r="F1635" s="21">
        <v>648</v>
      </c>
    </row>
    <row r="1636" spans="2:6" x14ac:dyDescent="0.25">
      <c r="B1636" s="18" t="s">
        <v>18</v>
      </c>
      <c r="C1636" s="19">
        <f>40567+(3*365)</f>
        <v>41662</v>
      </c>
      <c r="D1636" s="18" t="s">
        <v>71</v>
      </c>
      <c r="E1636" s="18" t="s">
        <v>75</v>
      </c>
      <c r="F1636" s="21">
        <v>160</v>
      </c>
    </row>
    <row r="1637" spans="2:6" x14ac:dyDescent="0.25">
      <c r="B1637" s="18" t="s">
        <v>21</v>
      </c>
      <c r="C1637" s="19">
        <f>40629+(3*365)</f>
        <v>41724</v>
      </c>
      <c r="D1637" s="18" t="s">
        <v>73</v>
      </c>
      <c r="E1637" s="18" t="s">
        <v>59</v>
      </c>
      <c r="F1637" s="21">
        <v>342</v>
      </c>
    </row>
    <row r="1638" spans="2:6" x14ac:dyDescent="0.25">
      <c r="B1638" s="18" t="s">
        <v>8</v>
      </c>
      <c r="C1638" s="19">
        <f>40282+(3*365)</f>
        <v>41377</v>
      </c>
      <c r="D1638" s="18" t="s">
        <v>81</v>
      </c>
      <c r="E1638" s="18" t="s">
        <v>69</v>
      </c>
      <c r="F1638" s="21">
        <v>2412</v>
      </c>
    </row>
    <row r="1639" spans="2:6" x14ac:dyDescent="0.25">
      <c r="B1639" s="18" t="s">
        <v>9</v>
      </c>
      <c r="C1639" s="19">
        <f>40158+(3*365)</f>
        <v>41253</v>
      </c>
      <c r="D1639" s="18" t="s">
        <v>62</v>
      </c>
      <c r="E1639" s="18" t="s">
        <v>75</v>
      </c>
      <c r="F1639" s="21">
        <v>238</v>
      </c>
    </row>
    <row r="1640" spans="2:6" x14ac:dyDescent="0.25">
      <c r="B1640" s="18" t="s">
        <v>8</v>
      </c>
      <c r="C1640" s="19">
        <f>40911+(3*365)</f>
        <v>42006</v>
      </c>
      <c r="D1640" s="18" t="s">
        <v>81</v>
      </c>
      <c r="E1640" s="18" t="s">
        <v>69</v>
      </c>
      <c r="F1640" s="21">
        <v>3264</v>
      </c>
    </row>
    <row r="1641" spans="2:6" x14ac:dyDescent="0.25">
      <c r="B1641" s="18" t="s">
        <v>25</v>
      </c>
      <c r="C1641" s="19">
        <f>40262+(3*365)</f>
        <v>41357</v>
      </c>
      <c r="D1641" s="18" t="s">
        <v>79</v>
      </c>
      <c r="E1641" s="18" t="s">
        <v>59</v>
      </c>
      <c r="F1641" s="21">
        <v>180</v>
      </c>
    </row>
    <row r="1642" spans="2:6" x14ac:dyDescent="0.25">
      <c r="B1642" s="18" t="s">
        <v>11</v>
      </c>
      <c r="C1642" s="19">
        <f>40323+(3*365)</f>
        <v>41418</v>
      </c>
      <c r="D1642" s="18" t="s">
        <v>74</v>
      </c>
      <c r="E1642" s="18" t="s">
        <v>61</v>
      </c>
      <c r="F1642" s="21">
        <v>639</v>
      </c>
    </row>
    <row r="1643" spans="2:6" x14ac:dyDescent="0.25">
      <c r="B1643" s="18" t="s">
        <v>31</v>
      </c>
      <c r="C1643" s="19">
        <f>40362+(3*365)</f>
        <v>41457</v>
      </c>
      <c r="D1643" s="18" t="s">
        <v>76</v>
      </c>
      <c r="E1643" s="18" t="s">
        <v>64</v>
      </c>
      <c r="F1643" s="21">
        <v>11904</v>
      </c>
    </row>
    <row r="1644" spans="2:6" x14ac:dyDescent="0.25">
      <c r="B1644" s="18" t="s">
        <v>9</v>
      </c>
      <c r="C1644" s="19">
        <f>40795+(3*365)</f>
        <v>41890</v>
      </c>
      <c r="D1644" s="18" t="s">
        <v>80</v>
      </c>
      <c r="E1644" s="18" t="s">
        <v>69</v>
      </c>
      <c r="F1644" s="21">
        <v>1224</v>
      </c>
    </row>
    <row r="1645" spans="2:6" x14ac:dyDescent="0.25">
      <c r="B1645" s="18" t="s">
        <v>10</v>
      </c>
      <c r="C1645" s="19">
        <f>40416+(3*365)</f>
        <v>41511</v>
      </c>
      <c r="D1645" s="18" t="s">
        <v>65</v>
      </c>
      <c r="E1645" s="18" t="s">
        <v>61</v>
      </c>
      <c r="F1645" s="21">
        <v>720</v>
      </c>
    </row>
    <row r="1646" spans="2:6" x14ac:dyDescent="0.25">
      <c r="B1646" s="18" t="s">
        <v>25</v>
      </c>
      <c r="C1646" s="19">
        <f>40667+(3*365)</f>
        <v>41762</v>
      </c>
      <c r="D1646" s="18" t="s">
        <v>78</v>
      </c>
      <c r="E1646" s="18" t="s">
        <v>63</v>
      </c>
      <c r="F1646" s="21">
        <v>1260</v>
      </c>
    </row>
    <row r="1647" spans="2:6" x14ac:dyDescent="0.25">
      <c r="B1647" s="18" t="s">
        <v>9</v>
      </c>
      <c r="C1647" s="19">
        <f>40149+(3*365)</f>
        <v>41244</v>
      </c>
      <c r="D1647" s="18" t="s">
        <v>62</v>
      </c>
      <c r="E1647" s="18" t="s">
        <v>61</v>
      </c>
      <c r="F1647" s="21">
        <v>1022</v>
      </c>
    </row>
    <row r="1648" spans="2:6" x14ac:dyDescent="0.25">
      <c r="B1648" s="18" t="s">
        <v>11</v>
      </c>
      <c r="C1648" s="19">
        <f>40614+(3*365)</f>
        <v>41709</v>
      </c>
      <c r="D1648" s="18" t="s">
        <v>74</v>
      </c>
      <c r="E1648" s="18" t="s">
        <v>63</v>
      </c>
      <c r="F1648" s="21">
        <v>1161</v>
      </c>
    </row>
    <row r="1649" spans="2:6" x14ac:dyDescent="0.25">
      <c r="B1649" s="18" t="s">
        <v>31</v>
      </c>
      <c r="C1649" s="19">
        <f>41109+(3*365)</f>
        <v>42204</v>
      </c>
      <c r="D1649" s="18" t="s">
        <v>70</v>
      </c>
      <c r="E1649" s="18" t="s">
        <v>69</v>
      </c>
      <c r="F1649" s="21">
        <v>3060</v>
      </c>
    </row>
    <row r="1650" spans="2:6" x14ac:dyDescent="0.25">
      <c r="B1650" s="18" t="s">
        <v>21</v>
      </c>
      <c r="C1650" s="19">
        <f>40588+(3*365)</f>
        <v>41683</v>
      </c>
      <c r="D1650" s="18" t="s">
        <v>58</v>
      </c>
      <c r="E1650" s="18" t="s">
        <v>61</v>
      </c>
      <c r="F1650" s="21">
        <v>375</v>
      </c>
    </row>
    <row r="1651" spans="2:6" x14ac:dyDescent="0.25">
      <c r="B1651" s="18" t="s">
        <v>10</v>
      </c>
      <c r="C1651" s="19">
        <f>40295+(3*365)</f>
        <v>41390</v>
      </c>
      <c r="D1651" s="18" t="s">
        <v>67</v>
      </c>
      <c r="E1651" s="18" t="s">
        <v>69</v>
      </c>
      <c r="F1651" s="21">
        <v>1128</v>
      </c>
    </row>
    <row r="1652" spans="2:6" x14ac:dyDescent="0.25">
      <c r="B1652" s="18" t="s">
        <v>8</v>
      </c>
      <c r="C1652" s="19">
        <f>41004+(3*365)</f>
        <v>42099</v>
      </c>
      <c r="D1652" s="18" t="s">
        <v>81</v>
      </c>
      <c r="E1652" s="18" t="s">
        <v>63</v>
      </c>
      <c r="F1652" s="21">
        <v>1792</v>
      </c>
    </row>
    <row r="1653" spans="2:6" x14ac:dyDescent="0.25">
      <c r="B1653" s="18" t="s">
        <v>10</v>
      </c>
      <c r="C1653" s="19">
        <f>40641+(3*365)</f>
        <v>41736</v>
      </c>
      <c r="D1653" s="18" t="s">
        <v>65</v>
      </c>
      <c r="E1653" s="18" t="s">
        <v>63</v>
      </c>
      <c r="F1653" s="21">
        <v>270</v>
      </c>
    </row>
    <row r="1654" spans="2:6" x14ac:dyDescent="0.25">
      <c r="B1654" s="18" t="s">
        <v>31</v>
      </c>
      <c r="C1654" s="19">
        <f>40228+(3*365)</f>
        <v>41323</v>
      </c>
      <c r="D1654" s="18" t="s">
        <v>70</v>
      </c>
      <c r="E1654" s="18" t="s">
        <v>63</v>
      </c>
      <c r="F1654" s="21">
        <v>936</v>
      </c>
    </row>
    <row r="1655" spans="2:6" x14ac:dyDescent="0.25">
      <c r="B1655" s="18" t="s">
        <v>21</v>
      </c>
      <c r="C1655" s="19">
        <f>39885+(3*365)</f>
        <v>40980</v>
      </c>
      <c r="D1655" s="18" t="s">
        <v>58</v>
      </c>
      <c r="E1655" s="18" t="s">
        <v>61</v>
      </c>
      <c r="F1655" s="21">
        <v>47</v>
      </c>
    </row>
    <row r="1656" spans="2:6" x14ac:dyDescent="0.25">
      <c r="B1656" s="18" t="s">
        <v>21</v>
      </c>
      <c r="C1656" s="19">
        <f>40461+(3*365)</f>
        <v>41556</v>
      </c>
      <c r="D1656" s="18" t="s">
        <v>73</v>
      </c>
      <c r="E1656" s="18" t="s">
        <v>64</v>
      </c>
      <c r="F1656" s="21">
        <v>3432</v>
      </c>
    </row>
    <row r="1657" spans="2:6" x14ac:dyDescent="0.25">
      <c r="B1657" s="18" t="s">
        <v>21</v>
      </c>
      <c r="C1657" s="19">
        <f>39996+(3*365)</f>
        <v>41091</v>
      </c>
      <c r="D1657" s="18" t="s">
        <v>58</v>
      </c>
      <c r="E1657" s="18" t="s">
        <v>64</v>
      </c>
      <c r="F1657" s="21">
        <v>2650</v>
      </c>
    </row>
    <row r="1658" spans="2:6" x14ac:dyDescent="0.25">
      <c r="B1658" s="18" t="s">
        <v>31</v>
      </c>
      <c r="C1658" s="19">
        <f>40032+(3*365)</f>
        <v>41127</v>
      </c>
      <c r="D1658" s="18" t="s">
        <v>76</v>
      </c>
      <c r="E1658" s="18" t="s">
        <v>59</v>
      </c>
      <c r="F1658" s="21">
        <v>621</v>
      </c>
    </row>
    <row r="1659" spans="2:6" x14ac:dyDescent="0.25">
      <c r="B1659" s="18" t="s">
        <v>11</v>
      </c>
      <c r="C1659" s="19">
        <f>41199+(3*365)</f>
        <v>42294</v>
      </c>
      <c r="D1659" s="18" t="s">
        <v>74</v>
      </c>
      <c r="E1659" s="18" t="s">
        <v>59</v>
      </c>
      <c r="F1659" s="21">
        <v>740</v>
      </c>
    </row>
    <row r="1660" spans="2:6" x14ac:dyDescent="0.25">
      <c r="B1660" s="18" t="s">
        <v>8</v>
      </c>
      <c r="C1660" s="19">
        <f>41225+(3*365)</f>
        <v>42320</v>
      </c>
      <c r="D1660" s="18" t="s">
        <v>77</v>
      </c>
      <c r="E1660" s="18" t="s">
        <v>72</v>
      </c>
      <c r="F1660" s="21">
        <v>2040</v>
      </c>
    </row>
    <row r="1661" spans="2:6" x14ac:dyDescent="0.25">
      <c r="B1661" s="18" t="s">
        <v>25</v>
      </c>
      <c r="C1661" s="19">
        <f>40149+(3*365)</f>
        <v>41244</v>
      </c>
      <c r="D1661" s="18" t="s">
        <v>78</v>
      </c>
      <c r="E1661" s="18" t="s">
        <v>69</v>
      </c>
      <c r="F1661" s="21">
        <v>1430</v>
      </c>
    </row>
    <row r="1662" spans="2:6" x14ac:dyDescent="0.25">
      <c r="B1662" s="18" t="s">
        <v>8</v>
      </c>
      <c r="C1662" s="19">
        <f>39864+(3*365)</f>
        <v>40959</v>
      </c>
      <c r="D1662" s="18" t="s">
        <v>81</v>
      </c>
      <c r="E1662" s="18" t="s">
        <v>69</v>
      </c>
      <c r="F1662" s="21">
        <v>978</v>
      </c>
    </row>
    <row r="1663" spans="2:6" x14ac:dyDescent="0.25">
      <c r="B1663" s="18" t="s">
        <v>11</v>
      </c>
      <c r="C1663" s="19">
        <f>40156+(3*365)</f>
        <v>41251</v>
      </c>
      <c r="D1663" s="18" t="s">
        <v>60</v>
      </c>
      <c r="E1663" s="18" t="s">
        <v>69</v>
      </c>
      <c r="F1663" s="21">
        <v>927</v>
      </c>
    </row>
    <row r="1664" spans="2:6" x14ac:dyDescent="0.25">
      <c r="B1664" s="18" t="s">
        <v>21</v>
      </c>
      <c r="C1664" s="19">
        <f>40364+(3*365)</f>
        <v>41459</v>
      </c>
      <c r="D1664" s="18" t="s">
        <v>73</v>
      </c>
      <c r="E1664" s="18" t="s">
        <v>72</v>
      </c>
      <c r="F1664" s="21">
        <v>1380</v>
      </c>
    </row>
    <row r="1665" spans="2:6" x14ac:dyDescent="0.25">
      <c r="B1665" s="18" t="s">
        <v>10</v>
      </c>
      <c r="C1665" s="19">
        <f>40054+(3*365)</f>
        <v>41149</v>
      </c>
      <c r="D1665" s="18" t="s">
        <v>65</v>
      </c>
      <c r="E1665" s="18" t="s">
        <v>72</v>
      </c>
      <c r="F1665" s="21">
        <v>976</v>
      </c>
    </row>
    <row r="1666" spans="2:6" x14ac:dyDescent="0.25">
      <c r="B1666" s="18" t="s">
        <v>10</v>
      </c>
      <c r="C1666" s="19">
        <f>40512+(3*365)</f>
        <v>41607</v>
      </c>
      <c r="D1666" s="18" t="s">
        <v>67</v>
      </c>
      <c r="E1666" s="18" t="s">
        <v>59</v>
      </c>
      <c r="F1666" s="21">
        <v>300</v>
      </c>
    </row>
    <row r="1667" spans="2:6" x14ac:dyDescent="0.25">
      <c r="B1667" s="18" t="s">
        <v>25</v>
      </c>
      <c r="C1667" s="19">
        <f>40273+(3*365)</f>
        <v>41368</v>
      </c>
      <c r="D1667" s="18" t="s">
        <v>79</v>
      </c>
      <c r="E1667" s="18" t="s">
        <v>72</v>
      </c>
      <c r="F1667" s="21">
        <v>3690</v>
      </c>
    </row>
    <row r="1668" spans="2:6" x14ac:dyDescent="0.25">
      <c r="B1668" s="18" t="s">
        <v>21</v>
      </c>
      <c r="C1668" s="19">
        <f>40512+(3*365)</f>
        <v>41607</v>
      </c>
      <c r="D1668" s="18" t="s">
        <v>73</v>
      </c>
      <c r="E1668" s="18" t="s">
        <v>75</v>
      </c>
      <c r="F1668" s="21">
        <v>34</v>
      </c>
    </row>
    <row r="1669" spans="2:6" x14ac:dyDescent="0.25">
      <c r="B1669" s="18" t="s">
        <v>10</v>
      </c>
      <c r="C1669" s="19">
        <f>40455+(3*365)</f>
        <v>41550</v>
      </c>
      <c r="D1669" s="18" t="s">
        <v>65</v>
      </c>
      <c r="E1669" s="18" t="s">
        <v>69</v>
      </c>
      <c r="F1669" s="21">
        <v>2496</v>
      </c>
    </row>
    <row r="1670" spans="2:6" x14ac:dyDescent="0.25">
      <c r="B1670" s="18" t="s">
        <v>31</v>
      </c>
      <c r="C1670" s="19">
        <f>40526+(3*365)</f>
        <v>41621</v>
      </c>
      <c r="D1670" s="18" t="s">
        <v>76</v>
      </c>
      <c r="E1670" s="18" t="s">
        <v>69</v>
      </c>
      <c r="F1670" s="21">
        <v>3132</v>
      </c>
    </row>
    <row r="1671" spans="2:6" x14ac:dyDescent="0.25">
      <c r="B1671" s="18" t="s">
        <v>31</v>
      </c>
      <c r="C1671" s="19">
        <f>41032+(3*365)</f>
        <v>42127</v>
      </c>
      <c r="D1671" s="18" t="s">
        <v>76</v>
      </c>
      <c r="E1671" s="18" t="s">
        <v>63</v>
      </c>
      <c r="F1671" s="21">
        <v>990</v>
      </c>
    </row>
    <row r="1672" spans="2:6" x14ac:dyDescent="0.25">
      <c r="B1672" s="18" t="s">
        <v>25</v>
      </c>
      <c r="C1672" s="19">
        <f>41216+(3*365)</f>
        <v>42311</v>
      </c>
      <c r="D1672" s="18" t="s">
        <v>78</v>
      </c>
      <c r="E1672" s="18" t="s">
        <v>69</v>
      </c>
      <c r="F1672" s="21">
        <v>174</v>
      </c>
    </row>
    <row r="1673" spans="2:6" x14ac:dyDescent="0.25">
      <c r="B1673" s="18" t="s">
        <v>9</v>
      </c>
      <c r="C1673" s="19">
        <f>40172+(3*365)</f>
        <v>41267</v>
      </c>
      <c r="D1673" s="18" t="s">
        <v>62</v>
      </c>
      <c r="E1673" s="18" t="s">
        <v>69</v>
      </c>
      <c r="F1673" s="21">
        <v>2080</v>
      </c>
    </row>
    <row r="1674" spans="2:6" x14ac:dyDescent="0.25">
      <c r="B1674" s="18" t="s">
        <v>11</v>
      </c>
      <c r="C1674" s="19">
        <f>40556+(3*365)</f>
        <v>41651</v>
      </c>
      <c r="D1674" s="18" t="s">
        <v>74</v>
      </c>
      <c r="E1674" s="18" t="s">
        <v>64</v>
      </c>
      <c r="F1674" s="21">
        <v>6615</v>
      </c>
    </row>
    <row r="1675" spans="2:6" x14ac:dyDescent="0.25">
      <c r="B1675" s="18" t="s">
        <v>9</v>
      </c>
      <c r="C1675" s="19">
        <f>40268+(3*365)</f>
        <v>41363</v>
      </c>
      <c r="D1675" s="18" t="s">
        <v>62</v>
      </c>
      <c r="E1675" s="18" t="s">
        <v>63</v>
      </c>
      <c r="F1675" s="21">
        <v>160</v>
      </c>
    </row>
    <row r="1676" spans="2:6" x14ac:dyDescent="0.25">
      <c r="B1676" s="18" t="s">
        <v>8</v>
      </c>
      <c r="C1676" s="19">
        <f>39952+(3*365)</f>
        <v>41047</v>
      </c>
      <c r="D1676" s="18" t="s">
        <v>81</v>
      </c>
      <c r="E1676" s="18" t="s">
        <v>61</v>
      </c>
      <c r="F1676" s="21">
        <v>312</v>
      </c>
    </row>
    <row r="1677" spans="2:6" x14ac:dyDescent="0.25">
      <c r="B1677" s="18" t="s">
        <v>18</v>
      </c>
      <c r="C1677" s="19">
        <f>41221+(3*365)</f>
        <v>42316</v>
      </c>
      <c r="D1677" s="18" t="s">
        <v>68</v>
      </c>
      <c r="E1677" s="18" t="s">
        <v>63</v>
      </c>
      <c r="F1677" s="21">
        <v>1620</v>
      </c>
    </row>
    <row r="1678" spans="2:6" x14ac:dyDescent="0.25">
      <c r="B1678" s="18" t="s">
        <v>8</v>
      </c>
      <c r="C1678" s="19">
        <f>41125+(3*365)</f>
        <v>42220</v>
      </c>
      <c r="D1678" s="18" t="s">
        <v>81</v>
      </c>
      <c r="E1678" s="18" t="s">
        <v>63</v>
      </c>
      <c r="F1678" s="21">
        <v>1632</v>
      </c>
    </row>
    <row r="1679" spans="2:6" x14ac:dyDescent="0.25">
      <c r="B1679" s="18" t="s">
        <v>8</v>
      </c>
      <c r="C1679" s="19">
        <f>40420+(3*365)</f>
        <v>41515</v>
      </c>
      <c r="D1679" s="18" t="s">
        <v>77</v>
      </c>
      <c r="E1679" s="18" t="s">
        <v>61</v>
      </c>
      <c r="F1679" s="21">
        <v>384</v>
      </c>
    </row>
    <row r="1680" spans="2:6" x14ac:dyDescent="0.25">
      <c r="B1680" s="18" t="s">
        <v>8</v>
      </c>
      <c r="C1680" s="19">
        <f>40349+(3*365)</f>
        <v>41444</v>
      </c>
      <c r="D1680" s="18" t="s">
        <v>77</v>
      </c>
      <c r="E1680" s="18" t="s">
        <v>69</v>
      </c>
      <c r="F1680" s="21">
        <v>2960</v>
      </c>
    </row>
    <row r="1681" spans="2:6" x14ac:dyDescent="0.25">
      <c r="B1681" s="18" t="s">
        <v>10</v>
      </c>
      <c r="C1681" s="19">
        <f>41194+(3*365)</f>
        <v>42289</v>
      </c>
      <c r="D1681" s="18" t="s">
        <v>65</v>
      </c>
      <c r="E1681" s="18" t="s">
        <v>59</v>
      </c>
      <c r="F1681" s="21">
        <v>504</v>
      </c>
    </row>
    <row r="1682" spans="2:6" x14ac:dyDescent="0.25">
      <c r="B1682" s="18" t="s">
        <v>31</v>
      </c>
      <c r="C1682" s="19">
        <f>41127+(3*365)</f>
        <v>42222</v>
      </c>
      <c r="D1682" s="18" t="s">
        <v>70</v>
      </c>
      <c r="E1682" s="18" t="s">
        <v>63</v>
      </c>
      <c r="F1682" s="21">
        <v>552</v>
      </c>
    </row>
    <row r="1683" spans="2:6" x14ac:dyDescent="0.25">
      <c r="B1683" s="18" t="s">
        <v>18</v>
      </c>
      <c r="C1683" s="19">
        <f>40097+(3*365)</f>
        <v>41192</v>
      </c>
      <c r="D1683" s="18" t="s">
        <v>71</v>
      </c>
      <c r="E1683" s="18" t="s">
        <v>69</v>
      </c>
      <c r="F1683" s="21">
        <v>2432</v>
      </c>
    </row>
    <row r="1684" spans="2:6" x14ac:dyDescent="0.25">
      <c r="B1684" s="18" t="s">
        <v>9</v>
      </c>
      <c r="C1684" s="19">
        <f>40599+(3*365)</f>
        <v>41694</v>
      </c>
      <c r="D1684" s="18" t="s">
        <v>80</v>
      </c>
      <c r="E1684" s="18" t="s">
        <v>59</v>
      </c>
      <c r="F1684" s="21">
        <v>630</v>
      </c>
    </row>
    <row r="1685" spans="2:6" x14ac:dyDescent="0.25">
      <c r="B1685" s="18" t="s">
        <v>8</v>
      </c>
      <c r="C1685" s="19">
        <f>40767+(3*365)</f>
        <v>41862</v>
      </c>
      <c r="D1685" s="18" t="s">
        <v>77</v>
      </c>
      <c r="E1685" s="18" t="s">
        <v>63</v>
      </c>
      <c r="F1685" s="21">
        <v>2048</v>
      </c>
    </row>
    <row r="1686" spans="2:6" x14ac:dyDescent="0.25">
      <c r="B1686" s="18" t="s">
        <v>18</v>
      </c>
      <c r="C1686" s="19">
        <f>40267+(3*365)</f>
        <v>41362</v>
      </c>
      <c r="D1686" s="18" t="s">
        <v>68</v>
      </c>
      <c r="E1686" s="18" t="s">
        <v>66</v>
      </c>
      <c r="F1686" s="21">
        <v>231</v>
      </c>
    </row>
    <row r="1687" spans="2:6" x14ac:dyDescent="0.25">
      <c r="B1687" s="18" t="s">
        <v>31</v>
      </c>
      <c r="C1687" s="19">
        <f>40710+(3*365)</f>
        <v>41805</v>
      </c>
      <c r="D1687" s="18" t="s">
        <v>76</v>
      </c>
      <c r="E1687" s="18" t="s">
        <v>66</v>
      </c>
      <c r="F1687" s="21">
        <v>738</v>
      </c>
    </row>
    <row r="1688" spans="2:6" x14ac:dyDescent="0.25">
      <c r="B1688" s="18" t="s">
        <v>8</v>
      </c>
      <c r="C1688" s="19">
        <f>40055+(3*365)</f>
        <v>41150</v>
      </c>
      <c r="D1688" s="18" t="s">
        <v>77</v>
      </c>
      <c r="E1688" s="18" t="s">
        <v>61</v>
      </c>
      <c r="F1688" s="21">
        <v>1044</v>
      </c>
    </row>
    <row r="1689" spans="2:6" x14ac:dyDescent="0.25">
      <c r="B1689" s="18" t="s">
        <v>9</v>
      </c>
      <c r="C1689" s="19">
        <f>41135+(3*365)</f>
        <v>42230</v>
      </c>
      <c r="D1689" s="18" t="s">
        <v>62</v>
      </c>
      <c r="E1689" s="18" t="s">
        <v>61</v>
      </c>
      <c r="F1689" s="21">
        <v>288</v>
      </c>
    </row>
    <row r="1690" spans="2:6" x14ac:dyDescent="0.25">
      <c r="B1690" s="18" t="s">
        <v>31</v>
      </c>
      <c r="C1690" s="19">
        <f>39981+(3*365)</f>
        <v>41076</v>
      </c>
      <c r="D1690" s="18" t="s">
        <v>76</v>
      </c>
      <c r="E1690" s="18" t="s">
        <v>61</v>
      </c>
      <c r="F1690" s="21">
        <v>840</v>
      </c>
    </row>
    <row r="1691" spans="2:6" x14ac:dyDescent="0.25">
      <c r="B1691" s="18" t="s">
        <v>9</v>
      </c>
      <c r="C1691" s="19">
        <f>40791+(3*365)</f>
        <v>41886</v>
      </c>
      <c r="D1691" s="18" t="s">
        <v>62</v>
      </c>
      <c r="E1691" s="18" t="s">
        <v>75</v>
      </c>
      <c r="F1691" s="21">
        <v>96</v>
      </c>
    </row>
    <row r="1692" spans="2:6" x14ac:dyDescent="0.25">
      <c r="B1692" s="18" t="s">
        <v>10</v>
      </c>
      <c r="C1692" s="19">
        <f>40901+(3*365)</f>
        <v>41996</v>
      </c>
      <c r="D1692" s="18" t="s">
        <v>67</v>
      </c>
      <c r="E1692" s="18" t="s">
        <v>64</v>
      </c>
      <c r="F1692" s="21">
        <v>1128</v>
      </c>
    </row>
    <row r="1693" spans="2:6" x14ac:dyDescent="0.25">
      <c r="B1693" s="18" t="s">
        <v>11</v>
      </c>
      <c r="C1693" s="19">
        <f>41001+(3*365)</f>
        <v>42096</v>
      </c>
      <c r="D1693" s="18" t="s">
        <v>60</v>
      </c>
      <c r="E1693" s="18" t="s">
        <v>75</v>
      </c>
      <c r="F1693" s="21">
        <v>272</v>
      </c>
    </row>
    <row r="1694" spans="2:6" x14ac:dyDescent="0.25">
      <c r="B1694" s="18" t="s">
        <v>25</v>
      </c>
      <c r="C1694" s="19">
        <f>39935+(3*365)</f>
        <v>41030</v>
      </c>
      <c r="D1694" s="18" t="s">
        <v>79</v>
      </c>
      <c r="E1694" s="18" t="s">
        <v>75</v>
      </c>
      <c r="F1694" s="21">
        <v>432</v>
      </c>
    </row>
    <row r="1695" spans="2:6" x14ac:dyDescent="0.25">
      <c r="B1695" s="18" t="s">
        <v>31</v>
      </c>
      <c r="C1695" s="19">
        <f>39928+(3*365)</f>
        <v>41023</v>
      </c>
      <c r="D1695" s="18" t="s">
        <v>76</v>
      </c>
      <c r="E1695" s="18" t="s">
        <v>72</v>
      </c>
      <c r="F1695" s="21">
        <v>1380</v>
      </c>
    </row>
    <row r="1696" spans="2:6" x14ac:dyDescent="0.25">
      <c r="B1696" s="18" t="s">
        <v>9</v>
      </c>
      <c r="C1696" s="19">
        <f>40199+(3*365)</f>
        <v>41294</v>
      </c>
      <c r="D1696" s="18" t="s">
        <v>62</v>
      </c>
      <c r="E1696" s="18" t="s">
        <v>64</v>
      </c>
      <c r="F1696" s="21">
        <v>6510</v>
      </c>
    </row>
    <row r="1697" spans="2:6" x14ac:dyDescent="0.25">
      <c r="B1697" s="18" t="s">
        <v>18</v>
      </c>
      <c r="C1697" s="19">
        <f>40539+(3*365)</f>
        <v>41634</v>
      </c>
      <c r="D1697" s="18" t="s">
        <v>71</v>
      </c>
      <c r="E1697" s="18" t="s">
        <v>69</v>
      </c>
      <c r="F1697" s="21">
        <v>3696</v>
      </c>
    </row>
    <row r="1698" spans="2:6" x14ac:dyDescent="0.25">
      <c r="B1698" s="18" t="s">
        <v>21</v>
      </c>
      <c r="C1698" s="19">
        <f>40002+(3*365)</f>
        <v>41097</v>
      </c>
      <c r="D1698" s="18" t="s">
        <v>73</v>
      </c>
      <c r="E1698" s="18" t="s">
        <v>63</v>
      </c>
      <c r="F1698" s="21">
        <v>210</v>
      </c>
    </row>
    <row r="1699" spans="2:6" x14ac:dyDescent="0.25">
      <c r="B1699" s="18" t="s">
        <v>25</v>
      </c>
      <c r="C1699" s="19">
        <f>40080+(3*365)</f>
        <v>41175</v>
      </c>
      <c r="D1699" s="18" t="s">
        <v>79</v>
      </c>
      <c r="E1699" s="18" t="s">
        <v>66</v>
      </c>
      <c r="F1699" s="21">
        <v>826</v>
      </c>
    </row>
    <row r="1700" spans="2:6" x14ac:dyDescent="0.25">
      <c r="B1700" s="18" t="s">
        <v>18</v>
      </c>
      <c r="C1700" s="19">
        <f>40368+(3*365)</f>
        <v>41463</v>
      </c>
      <c r="D1700" s="18" t="s">
        <v>71</v>
      </c>
      <c r="E1700" s="18" t="s">
        <v>69</v>
      </c>
      <c r="F1700" s="21">
        <v>1386</v>
      </c>
    </row>
    <row r="1701" spans="2:6" x14ac:dyDescent="0.25">
      <c r="B1701" s="18" t="s">
        <v>18</v>
      </c>
      <c r="C1701" s="19">
        <f>40768+(3*365)</f>
        <v>41863</v>
      </c>
      <c r="D1701" s="18" t="s">
        <v>68</v>
      </c>
      <c r="E1701" s="18" t="s">
        <v>69</v>
      </c>
      <c r="F1701" s="21">
        <v>504</v>
      </c>
    </row>
    <row r="1702" spans="2:6" x14ac:dyDescent="0.25">
      <c r="B1702" s="18" t="s">
        <v>8</v>
      </c>
      <c r="C1702" s="19">
        <f>40428+(3*365)</f>
        <v>41523</v>
      </c>
      <c r="D1702" s="18" t="s">
        <v>77</v>
      </c>
      <c r="E1702" s="18" t="s">
        <v>61</v>
      </c>
      <c r="F1702" s="21">
        <v>752</v>
      </c>
    </row>
    <row r="1703" spans="2:6" x14ac:dyDescent="0.25">
      <c r="B1703" s="18" t="s">
        <v>9</v>
      </c>
      <c r="C1703" s="19">
        <f>41159+(3*365)</f>
        <v>42254</v>
      </c>
      <c r="D1703" s="18" t="s">
        <v>80</v>
      </c>
      <c r="E1703" s="18" t="s">
        <v>75</v>
      </c>
      <c r="F1703" s="21">
        <v>20</v>
      </c>
    </row>
    <row r="1704" spans="2:6" x14ac:dyDescent="0.25">
      <c r="B1704" s="18" t="s">
        <v>8</v>
      </c>
      <c r="C1704" s="19">
        <f>40408+(3*365)</f>
        <v>41503</v>
      </c>
      <c r="D1704" s="18" t="s">
        <v>77</v>
      </c>
      <c r="E1704" s="18" t="s">
        <v>69</v>
      </c>
      <c r="F1704" s="21">
        <v>3564</v>
      </c>
    </row>
    <row r="1705" spans="2:6" x14ac:dyDescent="0.25">
      <c r="B1705" s="18" t="s">
        <v>25</v>
      </c>
      <c r="C1705" s="19">
        <f>40998+(3*365)</f>
        <v>42093</v>
      </c>
      <c r="D1705" s="18" t="s">
        <v>78</v>
      </c>
      <c r="E1705" s="18" t="s">
        <v>72</v>
      </c>
      <c r="F1705" s="21">
        <v>3216</v>
      </c>
    </row>
    <row r="1706" spans="2:6" x14ac:dyDescent="0.25">
      <c r="B1706" s="18" t="s">
        <v>10</v>
      </c>
      <c r="C1706" s="19">
        <f>40822+(3*365)</f>
        <v>41917</v>
      </c>
      <c r="D1706" s="18" t="s">
        <v>67</v>
      </c>
      <c r="E1706" s="18" t="s">
        <v>61</v>
      </c>
      <c r="F1706" s="21">
        <v>198</v>
      </c>
    </row>
    <row r="1707" spans="2:6" x14ac:dyDescent="0.25">
      <c r="B1707" s="18" t="s">
        <v>25</v>
      </c>
      <c r="C1707" s="19">
        <f>40678+(3*365)</f>
        <v>41773</v>
      </c>
      <c r="D1707" s="18" t="s">
        <v>79</v>
      </c>
      <c r="E1707" s="18" t="s">
        <v>64</v>
      </c>
      <c r="F1707" s="21">
        <v>25152</v>
      </c>
    </row>
    <row r="1708" spans="2:6" x14ac:dyDescent="0.25">
      <c r="B1708" s="18" t="s">
        <v>9</v>
      </c>
      <c r="C1708" s="19">
        <f>40651+(3*365)</f>
        <v>41746</v>
      </c>
      <c r="D1708" s="18" t="s">
        <v>80</v>
      </c>
      <c r="E1708" s="18" t="s">
        <v>61</v>
      </c>
      <c r="F1708" s="21">
        <v>1044</v>
      </c>
    </row>
    <row r="1709" spans="2:6" x14ac:dyDescent="0.25">
      <c r="B1709" s="18" t="s">
        <v>25</v>
      </c>
      <c r="C1709" s="19">
        <f>40406+(3*365)</f>
        <v>41501</v>
      </c>
      <c r="D1709" s="18" t="s">
        <v>79</v>
      </c>
      <c r="E1709" s="18" t="s">
        <v>61</v>
      </c>
      <c r="F1709" s="21">
        <v>624</v>
      </c>
    </row>
    <row r="1710" spans="2:6" x14ac:dyDescent="0.25">
      <c r="B1710" s="18" t="s">
        <v>21</v>
      </c>
      <c r="C1710" s="19">
        <f>40883+(3*365)</f>
        <v>41978</v>
      </c>
      <c r="D1710" s="18" t="s">
        <v>73</v>
      </c>
      <c r="E1710" s="18" t="s">
        <v>72</v>
      </c>
      <c r="F1710" s="21">
        <v>3402</v>
      </c>
    </row>
    <row r="1711" spans="2:6" x14ac:dyDescent="0.25">
      <c r="B1711" s="18" t="s">
        <v>10</v>
      </c>
      <c r="C1711" s="19">
        <f>40319+(3*365)</f>
        <v>41414</v>
      </c>
      <c r="D1711" s="18" t="s">
        <v>67</v>
      </c>
      <c r="E1711" s="18" t="s">
        <v>63</v>
      </c>
      <c r="F1711" s="21">
        <v>354</v>
      </c>
    </row>
    <row r="1712" spans="2:6" x14ac:dyDescent="0.25">
      <c r="B1712" s="18" t="s">
        <v>18</v>
      </c>
      <c r="C1712" s="19">
        <f>40506+(3*365)</f>
        <v>41601</v>
      </c>
      <c r="D1712" s="18" t="s">
        <v>68</v>
      </c>
      <c r="E1712" s="18" t="s">
        <v>64</v>
      </c>
      <c r="F1712" s="21">
        <v>6624</v>
      </c>
    </row>
    <row r="1713" spans="2:6" x14ac:dyDescent="0.25">
      <c r="B1713" s="18" t="s">
        <v>25</v>
      </c>
      <c r="C1713" s="19">
        <f>40149+(3*365)</f>
        <v>41244</v>
      </c>
      <c r="D1713" s="18" t="s">
        <v>79</v>
      </c>
      <c r="E1713" s="18" t="s">
        <v>75</v>
      </c>
      <c r="F1713" s="21">
        <v>612</v>
      </c>
    </row>
    <row r="1714" spans="2:6" x14ac:dyDescent="0.25">
      <c r="B1714" s="18" t="s">
        <v>25</v>
      </c>
      <c r="C1714" s="19">
        <f>41170+(3*365)</f>
        <v>42265</v>
      </c>
      <c r="D1714" s="18" t="s">
        <v>78</v>
      </c>
      <c r="E1714" s="18" t="s">
        <v>63</v>
      </c>
      <c r="F1714" s="21">
        <v>560</v>
      </c>
    </row>
    <row r="1715" spans="2:6" x14ac:dyDescent="0.25">
      <c r="B1715" s="18" t="s">
        <v>9</v>
      </c>
      <c r="C1715" s="19">
        <f>39895+(3*365)</f>
        <v>40990</v>
      </c>
      <c r="D1715" s="18" t="s">
        <v>62</v>
      </c>
      <c r="E1715" s="18" t="s">
        <v>66</v>
      </c>
      <c r="F1715" s="21">
        <v>854</v>
      </c>
    </row>
    <row r="1716" spans="2:6" x14ac:dyDescent="0.25">
      <c r="B1716" s="18" t="s">
        <v>21</v>
      </c>
      <c r="C1716" s="19">
        <f>40771+(3*365)</f>
        <v>41866</v>
      </c>
      <c r="D1716" s="18" t="s">
        <v>58</v>
      </c>
      <c r="E1716" s="18" t="s">
        <v>59</v>
      </c>
      <c r="F1716" s="21">
        <v>348</v>
      </c>
    </row>
    <row r="1717" spans="2:6" x14ac:dyDescent="0.25">
      <c r="B1717" s="18" t="s">
        <v>25</v>
      </c>
      <c r="C1717" s="19">
        <f>40137+(3*365)</f>
        <v>41232</v>
      </c>
      <c r="D1717" s="18" t="s">
        <v>79</v>
      </c>
      <c r="E1717" s="18" t="s">
        <v>69</v>
      </c>
      <c r="F1717" s="21">
        <v>1696</v>
      </c>
    </row>
    <row r="1718" spans="2:6" x14ac:dyDescent="0.25">
      <c r="B1718" s="18" t="s">
        <v>25</v>
      </c>
      <c r="C1718" s="19">
        <f>39997+(3*365)</f>
        <v>41092</v>
      </c>
      <c r="D1718" s="18" t="s">
        <v>79</v>
      </c>
      <c r="E1718" s="18" t="s">
        <v>66</v>
      </c>
      <c r="F1718" s="21">
        <v>64</v>
      </c>
    </row>
    <row r="1719" spans="2:6" x14ac:dyDescent="0.25">
      <c r="B1719" s="18" t="s">
        <v>11</v>
      </c>
      <c r="C1719" s="19">
        <f>40339+(3*365)</f>
        <v>41434</v>
      </c>
      <c r="D1719" s="18" t="s">
        <v>60</v>
      </c>
      <c r="E1719" s="18" t="s">
        <v>69</v>
      </c>
      <c r="F1719" s="21">
        <v>438</v>
      </c>
    </row>
    <row r="1720" spans="2:6" x14ac:dyDescent="0.25">
      <c r="B1720" s="18" t="s">
        <v>18</v>
      </c>
      <c r="C1720" s="19">
        <f>40255+(3*365)</f>
        <v>41350</v>
      </c>
      <c r="D1720" s="18" t="s">
        <v>71</v>
      </c>
      <c r="E1720" s="18" t="s">
        <v>69</v>
      </c>
      <c r="F1720" s="21">
        <v>1596</v>
      </c>
    </row>
    <row r="1721" spans="2:6" x14ac:dyDescent="0.25">
      <c r="B1721" s="18" t="s">
        <v>25</v>
      </c>
      <c r="C1721" s="19">
        <f>40121+(3*365)</f>
        <v>41216</v>
      </c>
      <c r="D1721" s="18" t="s">
        <v>78</v>
      </c>
      <c r="E1721" s="18" t="s">
        <v>59</v>
      </c>
      <c r="F1721" s="21">
        <v>448</v>
      </c>
    </row>
    <row r="1722" spans="2:6" x14ac:dyDescent="0.25">
      <c r="B1722" s="18" t="s">
        <v>11</v>
      </c>
      <c r="C1722" s="19">
        <f>41224+(3*365)</f>
        <v>42319</v>
      </c>
      <c r="D1722" s="18" t="s">
        <v>60</v>
      </c>
      <c r="E1722" s="18" t="s">
        <v>72</v>
      </c>
      <c r="F1722" s="21">
        <v>2976</v>
      </c>
    </row>
    <row r="1723" spans="2:6" x14ac:dyDescent="0.25">
      <c r="B1723" s="18" t="s">
        <v>31</v>
      </c>
      <c r="C1723" s="19">
        <f>40944+(3*365)</f>
        <v>42039</v>
      </c>
      <c r="D1723" s="18" t="s">
        <v>76</v>
      </c>
      <c r="E1723" s="18" t="s">
        <v>69</v>
      </c>
      <c r="F1723" s="21">
        <v>1368</v>
      </c>
    </row>
    <row r="1724" spans="2:6" x14ac:dyDescent="0.25">
      <c r="B1724" s="18" t="s">
        <v>9</v>
      </c>
      <c r="C1724" s="19">
        <f>41224+(3*365)</f>
        <v>42319</v>
      </c>
      <c r="D1724" s="18" t="s">
        <v>80</v>
      </c>
      <c r="E1724" s="18" t="s">
        <v>66</v>
      </c>
      <c r="F1724" s="21">
        <v>58</v>
      </c>
    </row>
    <row r="1725" spans="2:6" x14ac:dyDescent="0.25">
      <c r="B1725" s="18" t="s">
        <v>9</v>
      </c>
      <c r="C1725" s="19">
        <f>41023+(3*365)</f>
        <v>42118</v>
      </c>
      <c r="D1725" s="18" t="s">
        <v>80</v>
      </c>
      <c r="E1725" s="18" t="s">
        <v>64</v>
      </c>
      <c r="F1725" s="21">
        <v>2187</v>
      </c>
    </row>
    <row r="1726" spans="2:6" x14ac:dyDescent="0.25">
      <c r="B1726" s="18" t="s">
        <v>9</v>
      </c>
      <c r="C1726" s="19">
        <f>40644+(3*365)</f>
        <v>41739</v>
      </c>
      <c r="D1726" s="18" t="s">
        <v>62</v>
      </c>
      <c r="E1726" s="18" t="s">
        <v>66</v>
      </c>
      <c r="F1726" s="21">
        <v>1008</v>
      </c>
    </row>
    <row r="1727" spans="2:6" x14ac:dyDescent="0.25">
      <c r="B1727" s="18" t="s">
        <v>25</v>
      </c>
      <c r="C1727" s="19">
        <f>39955+(3*365)</f>
        <v>41050</v>
      </c>
      <c r="D1727" s="18" t="s">
        <v>79</v>
      </c>
      <c r="E1727" s="18" t="s">
        <v>63</v>
      </c>
      <c r="F1727" s="21">
        <v>100</v>
      </c>
    </row>
    <row r="1728" spans="2:6" x14ac:dyDescent="0.25">
      <c r="B1728" s="18" t="s">
        <v>18</v>
      </c>
      <c r="C1728" s="19">
        <f>40116+(3*365)</f>
        <v>41211</v>
      </c>
      <c r="D1728" s="18" t="s">
        <v>68</v>
      </c>
      <c r="E1728" s="18" t="s">
        <v>64</v>
      </c>
      <c r="F1728" s="21">
        <v>7472</v>
      </c>
    </row>
    <row r="1729" spans="2:6" x14ac:dyDescent="0.25">
      <c r="B1729" s="18" t="s">
        <v>18</v>
      </c>
      <c r="C1729" s="19">
        <f>40686+(3*365)</f>
        <v>41781</v>
      </c>
      <c r="D1729" s="18" t="s">
        <v>68</v>
      </c>
      <c r="E1729" s="18" t="s">
        <v>61</v>
      </c>
      <c r="F1729" s="21">
        <v>212</v>
      </c>
    </row>
    <row r="1730" spans="2:6" x14ac:dyDescent="0.25">
      <c r="B1730" s="18" t="s">
        <v>8</v>
      </c>
      <c r="C1730" s="19">
        <f>40543+(3*365)</f>
        <v>41638</v>
      </c>
      <c r="D1730" s="18" t="s">
        <v>81</v>
      </c>
      <c r="E1730" s="18" t="s">
        <v>72</v>
      </c>
      <c r="F1730" s="21">
        <v>624</v>
      </c>
    </row>
    <row r="1731" spans="2:6" x14ac:dyDescent="0.25">
      <c r="B1731" s="18" t="s">
        <v>31</v>
      </c>
      <c r="C1731" s="19">
        <f>41099+(3*365)</f>
        <v>42194</v>
      </c>
      <c r="D1731" s="18" t="s">
        <v>76</v>
      </c>
      <c r="E1731" s="18" t="s">
        <v>69</v>
      </c>
      <c r="F1731" s="21">
        <v>2664</v>
      </c>
    </row>
    <row r="1732" spans="2:6" x14ac:dyDescent="0.25">
      <c r="B1732" s="18" t="s">
        <v>21</v>
      </c>
      <c r="C1732" s="19">
        <f>40287+(3*365)</f>
        <v>41382</v>
      </c>
      <c r="D1732" s="18" t="s">
        <v>73</v>
      </c>
      <c r="E1732" s="18" t="s">
        <v>72</v>
      </c>
      <c r="F1732" s="21">
        <v>384</v>
      </c>
    </row>
    <row r="1733" spans="2:6" x14ac:dyDescent="0.25">
      <c r="B1733" s="18" t="s">
        <v>9</v>
      </c>
      <c r="C1733" s="19">
        <f>40803+(3*365)</f>
        <v>41898</v>
      </c>
      <c r="D1733" s="18" t="s">
        <v>80</v>
      </c>
      <c r="E1733" s="18" t="s">
        <v>75</v>
      </c>
      <c r="F1733" s="21">
        <v>384</v>
      </c>
    </row>
    <row r="1734" spans="2:6" x14ac:dyDescent="0.25">
      <c r="B1734" s="18" t="s">
        <v>11</v>
      </c>
      <c r="C1734" s="19">
        <f>40287+(3*365)</f>
        <v>41382</v>
      </c>
      <c r="D1734" s="18" t="s">
        <v>74</v>
      </c>
      <c r="E1734" s="18" t="s">
        <v>75</v>
      </c>
      <c r="F1734" s="21">
        <v>84</v>
      </c>
    </row>
    <row r="1735" spans="2:6" x14ac:dyDescent="0.25">
      <c r="B1735" s="18" t="s">
        <v>9</v>
      </c>
      <c r="C1735" s="19">
        <f>41006+(3*365)</f>
        <v>42101</v>
      </c>
      <c r="D1735" s="18" t="s">
        <v>80</v>
      </c>
      <c r="E1735" s="18" t="s">
        <v>75</v>
      </c>
      <c r="F1735" s="21">
        <v>185</v>
      </c>
    </row>
    <row r="1736" spans="2:6" x14ac:dyDescent="0.25">
      <c r="B1736" s="18" t="s">
        <v>9</v>
      </c>
      <c r="C1736" s="19">
        <f>39956+(3*365)</f>
        <v>41051</v>
      </c>
      <c r="D1736" s="18" t="s">
        <v>80</v>
      </c>
      <c r="E1736" s="18" t="s">
        <v>64</v>
      </c>
      <c r="F1736" s="21">
        <v>2212</v>
      </c>
    </row>
    <row r="1737" spans="2:6" x14ac:dyDescent="0.25">
      <c r="B1737" s="18" t="s">
        <v>10</v>
      </c>
      <c r="C1737" s="19">
        <f>40772+(3*365)</f>
        <v>41867</v>
      </c>
      <c r="D1737" s="18" t="s">
        <v>67</v>
      </c>
      <c r="E1737" s="18" t="s">
        <v>59</v>
      </c>
      <c r="F1737" s="21">
        <v>128</v>
      </c>
    </row>
    <row r="1738" spans="2:6" x14ac:dyDescent="0.25">
      <c r="B1738" s="18" t="s">
        <v>9</v>
      </c>
      <c r="C1738" s="19">
        <f>41217+(3*365)</f>
        <v>42312</v>
      </c>
      <c r="D1738" s="18" t="s">
        <v>62</v>
      </c>
      <c r="E1738" s="18" t="s">
        <v>64</v>
      </c>
      <c r="F1738" s="21">
        <v>2115</v>
      </c>
    </row>
    <row r="1739" spans="2:6" x14ac:dyDescent="0.25">
      <c r="B1739" s="18" t="s">
        <v>21</v>
      </c>
      <c r="C1739" s="19">
        <f>40113+(3*365)</f>
        <v>41208</v>
      </c>
      <c r="D1739" s="18" t="s">
        <v>73</v>
      </c>
      <c r="E1739" s="18" t="s">
        <v>66</v>
      </c>
      <c r="F1739" s="21">
        <v>272</v>
      </c>
    </row>
    <row r="1740" spans="2:6" x14ac:dyDescent="0.25">
      <c r="B1740" s="18" t="s">
        <v>25</v>
      </c>
      <c r="C1740" s="19">
        <f>40183+(3*365)</f>
        <v>41278</v>
      </c>
      <c r="D1740" s="18" t="s">
        <v>78</v>
      </c>
      <c r="E1740" s="18" t="s">
        <v>75</v>
      </c>
      <c r="F1740" s="21">
        <v>255</v>
      </c>
    </row>
    <row r="1741" spans="2:6" x14ac:dyDescent="0.25">
      <c r="B1741" s="18" t="s">
        <v>25</v>
      </c>
      <c r="C1741" s="19">
        <f>40460+(3*365)</f>
        <v>41555</v>
      </c>
      <c r="D1741" s="18" t="s">
        <v>79</v>
      </c>
      <c r="E1741" s="18" t="s">
        <v>66</v>
      </c>
      <c r="F1741" s="21">
        <v>888</v>
      </c>
    </row>
    <row r="1742" spans="2:6" x14ac:dyDescent="0.25">
      <c r="B1742" s="18" t="s">
        <v>31</v>
      </c>
      <c r="C1742" s="19">
        <f>40841+(3*365)</f>
        <v>41936</v>
      </c>
      <c r="D1742" s="18" t="s">
        <v>76</v>
      </c>
      <c r="E1742" s="18" t="s">
        <v>64</v>
      </c>
      <c r="F1742" s="21">
        <v>5400</v>
      </c>
    </row>
    <row r="1743" spans="2:6" x14ac:dyDescent="0.25">
      <c r="B1743" s="18" t="s">
        <v>25</v>
      </c>
      <c r="C1743" s="19">
        <f>40338+(3*365)</f>
        <v>41433</v>
      </c>
      <c r="D1743" s="18" t="s">
        <v>78</v>
      </c>
      <c r="E1743" s="18" t="s">
        <v>63</v>
      </c>
      <c r="F1743" s="21">
        <v>90</v>
      </c>
    </row>
    <row r="1744" spans="2:6" x14ac:dyDescent="0.25">
      <c r="B1744" s="18" t="s">
        <v>18</v>
      </c>
      <c r="C1744" s="19">
        <f>40906+(3*365)</f>
        <v>42001</v>
      </c>
      <c r="D1744" s="18" t="s">
        <v>71</v>
      </c>
      <c r="E1744" s="18" t="s">
        <v>64</v>
      </c>
      <c r="F1744" s="21">
        <v>5652</v>
      </c>
    </row>
    <row r="1745" spans="2:6" x14ac:dyDescent="0.25">
      <c r="B1745" s="18" t="s">
        <v>31</v>
      </c>
      <c r="C1745" s="19">
        <f>41249+(3*365)</f>
        <v>42344</v>
      </c>
      <c r="D1745" s="18" t="s">
        <v>76</v>
      </c>
      <c r="E1745" s="18" t="s">
        <v>72</v>
      </c>
      <c r="F1745" s="21">
        <v>5373</v>
      </c>
    </row>
    <row r="1746" spans="2:6" x14ac:dyDescent="0.25">
      <c r="B1746" s="18" t="s">
        <v>18</v>
      </c>
      <c r="C1746" s="19">
        <f>40929+(3*365)</f>
        <v>42024</v>
      </c>
      <c r="D1746" s="18" t="s">
        <v>68</v>
      </c>
      <c r="E1746" s="18" t="s">
        <v>72</v>
      </c>
      <c r="F1746" s="21">
        <v>2394</v>
      </c>
    </row>
    <row r="1747" spans="2:6" x14ac:dyDescent="0.25">
      <c r="B1747" s="18" t="s">
        <v>31</v>
      </c>
      <c r="C1747" s="19">
        <f>40152+(3*365)</f>
        <v>41247</v>
      </c>
      <c r="D1747" s="18" t="s">
        <v>70</v>
      </c>
      <c r="E1747" s="18" t="s">
        <v>66</v>
      </c>
      <c r="F1747" s="21">
        <v>1368</v>
      </c>
    </row>
    <row r="1748" spans="2:6" x14ac:dyDescent="0.25">
      <c r="B1748" s="18" t="s">
        <v>11</v>
      </c>
      <c r="C1748" s="19">
        <f>40288+(3*365)</f>
        <v>41383</v>
      </c>
      <c r="D1748" s="18" t="s">
        <v>74</v>
      </c>
      <c r="E1748" s="18" t="s">
        <v>69</v>
      </c>
      <c r="F1748" s="21">
        <v>2760</v>
      </c>
    </row>
    <row r="1749" spans="2:6" x14ac:dyDescent="0.25">
      <c r="B1749" s="18" t="s">
        <v>25</v>
      </c>
      <c r="C1749" s="19">
        <f>40601+(3*365)</f>
        <v>41696</v>
      </c>
      <c r="D1749" s="18" t="s">
        <v>78</v>
      </c>
      <c r="E1749" s="18" t="s">
        <v>75</v>
      </c>
      <c r="F1749" s="21">
        <v>264</v>
      </c>
    </row>
    <row r="1750" spans="2:6" x14ac:dyDescent="0.25">
      <c r="B1750" s="18" t="s">
        <v>25</v>
      </c>
      <c r="C1750" s="19">
        <f>41106+(3*365)</f>
        <v>42201</v>
      </c>
      <c r="D1750" s="18" t="s">
        <v>78</v>
      </c>
      <c r="E1750" s="18" t="s">
        <v>66</v>
      </c>
      <c r="F1750" s="21">
        <v>162</v>
      </c>
    </row>
    <row r="1751" spans="2:6" x14ac:dyDescent="0.25">
      <c r="B1751" s="18" t="s">
        <v>10</v>
      </c>
      <c r="C1751" s="19">
        <f>40042+(3*365)</f>
        <v>41137</v>
      </c>
      <c r="D1751" s="18" t="s">
        <v>65</v>
      </c>
      <c r="E1751" s="18" t="s">
        <v>63</v>
      </c>
      <c r="F1751" s="21">
        <v>320</v>
      </c>
    </row>
    <row r="1752" spans="2:6" x14ac:dyDescent="0.25">
      <c r="B1752" s="18" t="s">
        <v>9</v>
      </c>
      <c r="C1752" s="19">
        <f>41266+(3*365)</f>
        <v>42361</v>
      </c>
      <c r="D1752" s="18" t="s">
        <v>80</v>
      </c>
      <c r="E1752" s="18" t="s">
        <v>75</v>
      </c>
      <c r="F1752" s="21">
        <v>252</v>
      </c>
    </row>
    <row r="1753" spans="2:6" x14ac:dyDescent="0.25">
      <c r="B1753" s="18" t="s">
        <v>18</v>
      </c>
      <c r="C1753" s="19">
        <f>40178+(3*365)</f>
        <v>41273</v>
      </c>
      <c r="D1753" s="18" t="s">
        <v>71</v>
      </c>
      <c r="E1753" s="18" t="s">
        <v>59</v>
      </c>
      <c r="F1753" s="21">
        <v>252</v>
      </c>
    </row>
    <row r="1754" spans="2:6" x14ac:dyDescent="0.25">
      <c r="B1754" s="18" t="s">
        <v>25</v>
      </c>
      <c r="C1754" s="19">
        <f>41037+(3*365)</f>
        <v>42132</v>
      </c>
      <c r="D1754" s="18" t="s">
        <v>79</v>
      </c>
      <c r="E1754" s="18" t="s">
        <v>64</v>
      </c>
      <c r="F1754" s="21">
        <v>7280</v>
      </c>
    </row>
    <row r="1755" spans="2:6" x14ac:dyDescent="0.25">
      <c r="B1755" s="18" t="s">
        <v>31</v>
      </c>
      <c r="C1755" s="19">
        <f>39819+(3*365)</f>
        <v>40914</v>
      </c>
      <c r="D1755" s="18" t="s">
        <v>70</v>
      </c>
      <c r="E1755" s="18" t="s">
        <v>63</v>
      </c>
      <c r="F1755" s="21">
        <v>486</v>
      </c>
    </row>
    <row r="1756" spans="2:6" x14ac:dyDescent="0.25">
      <c r="B1756" s="18" t="s">
        <v>18</v>
      </c>
      <c r="C1756" s="19">
        <f>40155+(3*365)</f>
        <v>41250</v>
      </c>
      <c r="D1756" s="18" t="s">
        <v>71</v>
      </c>
      <c r="E1756" s="18" t="s">
        <v>66</v>
      </c>
      <c r="F1756" s="21">
        <v>900</v>
      </c>
    </row>
    <row r="1757" spans="2:6" x14ac:dyDescent="0.25">
      <c r="B1757" s="18" t="s">
        <v>8</v>
      </c>
      <c r="C1757" s="19">
        <f>41009+(3*365)</f>
        <v>42104</v>
      </c>
      <c r="D1757" s="18" t="s">
        <v>77</v>
      </c>
      <c r="E1757" s="18" t="s">
        <v>69</v>
      </c>
      <c r="F1757" s="21">
        <v>1512</v>
      </c>
    </row>
    <row r="1758" spans="2:6" x14ac:dyDescent="0.25">
      <c r="B1758" s="18" t="s">
        <v>31</v>
      </c>
      <c r="C1758" s="19">
        <f>40389+(3*365)</f>
        <v>41484</v>
      </c>
      <c r="D1758" s="18" t="s">
        <v>70</v>
      </c>
      <c r="E1758" s="18" t="s">
        <v>66</v>
      </c>
      <c r="F1758" s="21">
        <v>270</v>
      </c>
    </row>
    <row r="1759" spans="2:6" x14ac:dyDescent="0.25">
      <c r="B1759" s="18" t="s">
        <v>31</v>
      </c>
      <c r="C1759" s="19">
        <f>39839+(3*365)</f>
        <v>40934</v>
      </c>
      <c r="D1759" s="18" t="s">
        <v>70</v>
      </c>
      <c r="E1759" s="18" t="s">
        <v>69</v>
      </c>
      <c r="F1759" s="21">
        <v>2712</v>
      </c>
    </row>
    <row r="1760" spans="2:6" x14ac:dyDescent="0.25">
      <c r="B1760" s="18" t="s">
        <v>18</v>
      </c>
      <c r="C1760" s="19">
        <f>40907+(3*365)</f>
        <v>42002</v>
      </c>
      <c r="D1760" s="18" t="s">
        <v>71</v>
      </c>
      <c r="E1760" s="18" t="s">
        <v>69</v>
      </c>
      <c r="F1760" s="21">
        <v>2920</v>
      </c>
    </row>
    <row r="1761" spans="2:6" x14ac:dyDescent="0.25">
      <c r="B1761" s="18" t="s">
        <v>9</v>
      </c>
      <c r="C1761" s="19">
        <f>40523+(3*365)</f>
        <v>41618</v>
      </c>
      <c r="D1761" s="18" t="s">
        <v>62</v>
      </c>
      <c r="E1761" s="18" t="s">
        <v>75</v>
      </c>
      <c r="F1761" s="21">
        <v>192</v>
      </c>
    </row>
    <row r="1762" spans="2:6" x14ac:dyDescent="0.25">
      <c r="B1762" s="18" t="s">
        <v>31</v>
      </c>
      <c r="C1762" s="19">
        <f>40458+(3*365)</f>
        <v>41553</v>
      </c>
      <c r="D1762" s="18" t="s">
        <v>70</v>
      </c>
      <c r="E1762" s="18" t="s">
        <v>63</v>
      </c>
      <c r="F1762" s="21">
        <v>1008</v>
      </c>
    </row>
    <row r="1763" spans="2:6" x14ac:dyDescent="0.25">
      <c r="B1763" s="18" t="s">
        <v>21</v>
      </c>
      <c r="C1763" s="19">
        <f>40995+(3*365)</f>
        <v>42090</v>
      </c>
      <c r="D1763" s="18" t="s">
        <v>58</v>
      </c>
      <c r="E1763" s="18" t="s">
        <v>59</v>
      </c>
      <c r="F1763" s="21">
        <v>888</v>
      </c>
    </row>
    <row r="1764" spans="2:6" x14ac:dyDescent="0.25">
      <c r="B1764" s="18" t="s">
        <v>10</v>
      </c>
      <c r="C1764" s="19">
        <f>40976+(3*365)</f>
        <v>42071</v>
      </c>
      <c r="D1764" s="18" t="s">
        <v>67</v>
      </c>
      <c r="E1764" s="18" t="s">
        <v>69</v>
      </c>
      <c r="F1764" s="21">
        <v>1197</v>
      </c>
    </row>
    <row r="1765" spans="2:6" x14ac:dyDescent="0.25">
      <c r="B1765" s="18" t="s">
        <v>21</v>
      </c>
      <c r="C1765" s="19">
        <f>41013+(3*365)</f>
        <v>42108</v>
      </c>
      <c r="D1765" s="18" t="s">
        <v>58</v>
      </c>
      <c r="E1765" s="18" t="s">
        <v>59</v>
      </c>
      <c r="F1765" s="21">
        <v>80</v>
      </c>
    </row>
    <row r="1766" spans="2:6" x14ac:dyDescent="0.25">
      <c r="B1766" s="18" t="s">
        <v>8</v>
      </c>
      <c r="C1766" s="19">
        <f>41075+(3*365)</f>
        <v>42170</v>
      </c>
      <c r="D1766" s="18" t="s">
        <v>77</v>
      </c>
      <c r="E1766" s="18" t="s">
        <v>72</v>
      </c>
      <c r="F1766" s="21">
        <v>8320</v>
      </c>
    </row>
    <row r="1767" spans="2:6" x14ac:dyDescent="0.25">
      <c r="B1767" s="18" t="s">
        <v>11</v>
      </c>
      <c r="C1767" s="19">
        <f>40131+(3*365)</f>
        <v>41226</v>
      </c>
      <c r="D1767" s="18" t="s">
        <v>60</v>
      </c>
      <c r="E1767" s="18" t="s">
        <v>66</v>
      </c>
      <c r="F1767" s="21">
        <v>330</v>
      </c>
    </row>
    <row r="1768" spans="2:6" x14ac:dyDescent="0.25">
      <c r="B1768" s="18" t="s">
        <v>31</v>
      </c>
      <c r="C1768" s="19">
        <f>40510+(3*365)</f>
        <v>41605</v>
      </c>
      <c r="D1768" s="18" t="s">
        <v>70</v>
      </c>
      <c r="E1768" s="18" t="s">
        <v>61</v>
      </c>
      <c r="F1768" s="21">
        <v>1680</v>
      </c>
    </row>
    <row r="1769" spans="2:6" x14ac:dyDescent="0.25">
      <c r="B1769" s="18" t="s">
        <v>25</v>
      </c>
      <c r="C1769" s="19">
        <f>41253+(3*365)</f>
        <v>42348</v>
      </c>
      <c r="D1769" s="18" t="s">
        <v>79</v>
      </c>
      <c r="E1769" s="18" t="s">
        <v>64</v>
      </c>
      <c r="F1769" s="21">
        <v>6810</v>
      </c>
    </row>
    <row r="1770" spans="2:6" x14ac:dyDescent="0.25">
      <c r="B1770" s="18" t="s">
        <v>25</v>
      </c>
      <c r="C1770" s="19">
        <f>40689+(3*365)</f>
        <v>41784</v>
      </c>
      <c r="D1770" s="18" t="s">
        <v>78</v>
      </c>
      <c r="E1770" s="18" t="s">
        <v>64</v>
      </c>
      <c r="F1770" s="21">
        <v>7760</v>
      </c>
    </row>
    <row r="1771" spans="2:6" x14ac:dyDescent="0.25">
      <c r="B1771" s="18" t="s">
        <v>31</v>
      </c>
      <c r="C1771" s="19">
        <f>40780+(3*365)</f>
        <v>41875</v>
      </c>
      <c r="D1771" s="18" t="s">
        <v>70</v>
      </c>
      <c r="E1771" s="18" t="s">
        <v>64</v>
      </c>
      <c r="F1771" s="21">
        <v>15603</v>
      </c>
    </row>
    <row r="1772" spans="2:6" x14ac:dyDescent="0.25">
      <c r="B1772" s="18" t="s">
        <v>9</v>
      </c>
      <c r="C1772" s="19">
        <f>39898+(3*365)</f>
        <v>40993</v>
      </c>
      <c r="D1772" s="18" t="s">
        <v>62</v>
      </c>
      <c r="E1772" s="18" t="s">
        <v>66</v>
      </c>
      <c r="F1772" s="21">
        <v>132</v>
      </c>
    </row>
    <row r="1773" spans="2:6" x14ac:dyDescent="0.25">
      <c r="B1773" s="18" t="s">
        <v>10</v>
      </c>
      <c r="C1773" s="19">
        <f>39836+(3*365)</f>
        <v>40931</v>
      </c>
      <c r="D1773" s="18" t="s">
        <v>65</v>
      </c>
      <c r="E1773" s="18" t="s">
        <v>72</v>
      </c>
      <c r="F1773" s="21">
        <v>360</v>
      </c>
    </row>
    <row r="1774" spans="2:6" x14ac:dyDescent="0.25">
      <c r="B1774" s="18" t="s">
        <v>31</v>
      </c>
      <c r="C1774" s="19">
        <f>40118+(3*365)</f>
        <v>41213</v>
      </c>
      <c r="D1774" s="18" t="s">
        <v>76</v>
      </c>
      <c r="E1774" s="18" t="s">
        <v>69</v>
      </c>
      <c r="F1774" s="21">
        <v>870</v>
      </c>
    </row>
    <row r="1775" spans="2:6" x14ac:dyDescent="0.25">
      <c r="B1775" s="18" t="s">
        <v>18</v>
      </c>
      <c r="C1775" s="19">
        <f>39875+(3*365)</f>
        <v>40970</v>
      </c>
      <c r="D1775" s="18" t="s">
        <v>68</v>
      </c>
      <c r="E1775" s="18" t="s">
        <v>75</v>
      </c>
      <c r="F1775" s="21">
        <v>264</v>
      </c>
    </row>
    <row r="1776" spans="2:6" x14ac:dyDescent="0.25">
      <c r="B1776" s="18" t="s">
        <v>10</v>
      </c>
      <c r="C1776" s="19">
        <f>40234+(3*365)</f>
        <v>41329</v>
      </c>
      <c r="D1776" s="18" t="s">
        <v>67</v>
      </c>
      <c r="E1776" s="18" t="s">
        <v>72</v>
      </c>
      <c r="F1776" s="21">
        <v>1260</v>
      </c>
    </row>
    <row r="1777" spans="2:6" x14ac:dyDescent="0.25">
      <c r="B1777" s="18" t="s">
        <v>25</v>
      </c>
      <c r="C1777" s="19">
        <f>39850+(3*365)</f>
        <v>40945</v>
      </c>
      <c r="D1777" s="18" t="s">
        <v>79</v>
      </c>
      <c r="E1777" s="18" t="s">
        <v>69</v>
      </c>
      <c r="F1777" s="21">
        <v>1504</v>
      </c>
    </row>
    <row r="1778" spans="2:6" x14ac:dyDescent="0.25">
      <c r="B1778" s="18" t="s">
        <v>8</v>
      </c>
      <c r="C1778" s="19">
        <f>40805+(3*365)</f>
        <v>41900</v>
      </c>
      <c r="D1778" s="18" t="s">
        <v>81</v>
      </c>
      <c r="E1778" s="18" t="s">
        <v>75</v>
      </c>
      <c r="F1778" s="21">
        <v>768</v>
      </c>
    </row>
    <row r="1779" spans="2:6" x14ac:dyDescent="0.25">
      <c r="B1779" s="18" t="s">
        <v>18</v>
      </c>
      <c r="C1779" s="19">
        <f>40888+(3*365)</f>
        <v>41983</v>
      </c>
      <c r="D1779" s="18" t="s">
        <v>71</v>
      </c>
      <c r="E1779" s="18" t="s">
        <v>61</v>
      </c>
      <c r="F1779" s="21">
        <v>900</v>
      </c>
    </row>
    <row r="1780" spans="2:6" x14ac:dyDescent="0.25">
      <c r="B1780" s="18" t="s">
        <v>8</v>
      </c>
      <c r="C1780" s="19">
        <f>40282+(3*365)</f>
        <v>41377</v>
      </c>
      <c r="D1780" s="18" t="s">
        <v>77</v>
      </c>
      <c r="E1780" s="18" t="s">
        <v>61</v>
      </c>
      <c r="F1780" s="21">
        <v>1368</v>
      </c>
    </row>
    <row r="1781" spans="2:6" x14ac:dyDescent="0.25">
      <c r="B1781" s="18" t="s">
        <v>25</v>
      </c>
      <c r="C1781" s="19">
        <f>41124+(3*365)</f>
        <v>42219</v>
      </c>
      <c r="D1781" s="18" t="s">
        <v>78</v>
      </c>
      <c r="E1781" s="18" t="s">
        <v>63</v>
      </c>
      <c r="F1781" s="21">
        <v>210</v>
      </c>
    </row>
    <row r="1782" spans="2:6" x14ac:dyDescent="0.25">
      <c r="B1782" s="18" t="s">
        <v>21</v>
      </c>
      <c r="C1782" s="19">
        <f>40030+(3*365)</f>
        <v>41125</v>
      </c>
      <c r="D1782" s="18" t="s">
        <v>73</v>
      </c>
      <c r="E1782" s="18" t="s">
        <v>66</v>
      </c>
      <c r="F1782" s="21">
        <v>387</v>
      </c>
    </row>
    <row r="1783" spans="2:6" x14ac:dyDescent="0.25">
      <c r="B1783" s="18" t="s">
        <v>8</v>
      </c>
      <c r="C1783" s="19">
        <f>40834+(3*365)</f>
        <v>41929</v>
      </c>
      <c r="D1783" s="18" t="s">
        <v>81</v>
      </c>
      <c r="E1783" s="18" t="s">
        <v>61</v>
      </c>
      <c r="F1783" s="21">
        <v>1060</v>
      </c>
    </row>
    <row r="1784" spans="2:6" x14ac:dyDescent="0.25">
      <c r="B1784" s="18" t="s">
        <v>18</v>
      </c>
      <c r="C1784" s="19">
        <f>40231+(3*365)</f>
        <v>41326</v>
      </c>
      <c r="D1784" s="18" t="s">
        <v>71</v>
      </c>
      <c r="E1784" s="18" t="s">
        <v>66</v>
      </c>
      <c r="F1784" s="21">
        <v>1080</v>
      </c>
    </row>
    <row r="1785" spans="2:6" x14ac:dyDescent="0.25">
      <c r="B1785" s="18" t="s">
        <v>10</v>
      </c>
      <c r="C1785" s="19">
        <f>40016+(3*365)</f>
        <v>41111</v>
      </c>
      <c r="D1785" s="18" t="s">
        <v>65</v>
      </c>
      <c r="E1785" s="18" t="s">
        <v>72</v>
      </c>
      <c r="F1785" s="21">
        <v>3120</v>
      </c>
    </row>
    <row r="1786" spans="2:6" x14ac:dyDescent="0.25">
      <c r="B1786" s="18" t="s">
        <v>18</v>
      </c>
      <c r="C1786" s="19">
        <f>40052+(3*365)</f>
        <v>41147</v>
      </c>
      <c r="D1786" s="18" t="s">
        <v>71</v>
      </c>
      <c r="E1786" s="18" t="s">
        <v>69</v>
      </c>
      <c r="F1786" s="21">
        <v>380</v>
      </c>
    </row>
    <row r="1787" spans="2:6" x14ac:dyDescent="0.25">
      <c r="B1787" s="18" t="s">
        <v>18</v>
      </c>
      <c r="C1787" s="19">
        <f>40547+(3*365)</f>
        <v>41642</v>
      </c>
      <c r="D1787" s="18" t="s">
        <v>71</v>
      </c>
      <c r="E1787" s="18" t="s">
        <v>61</v>
      </c>
      <c r="F1787" s="21">
        <v>104</v>
      </c>
    </row>
    <row r="1788" spans="2:6" x14ac:dyDescent="0.25">
      <c r="B1788" s="18" t="s">
        <v>9</v>
      </c>
      <c r="C1788" s="19">
        <f>40708+(3*365)</f>
        <v>41803</v>
      </c>
      <c r="D1788" s="18" t="s">
        <v>80</v>
      </c>
      <c r="E1788" s="18" t="s">
        <v>63</v>
      </c>
      <c r="F1788" s="21">
        <v>1269</v>
      </c>
    </row>
    <row r="1789" spans="2:6" x14ac:dyDescent="0.25">
      <c r="B1789" s="18" t="s">
        <v>10</v>
      </c>
      <c r="C1789" s="19">
        <f>40698+(3*365)</f>
        <v>41793</v>
      </c>
      <c r="D1789" s="18" t="s">
        <v>65</v>
      </c>
      <c r="E1789" s="18" t="s">
        <v>59</v>
      </c>
      <c r="F1789" s="21">
        <v>84</v>
      </c>
    </row>
    <row r="1790" spans="2:6" x14ac:dyDescent="0.25">
      <c r="B1790" s="18" t="s">
        <v>11</v>
      </c>
      <c r="C1790" s="19">
        <f>40776+(3*365)</f>
        <v>41871</v>
      </c>
      <c r="D1790" s="18" t="s">
        <v>74</v>
      </c>
      <c r="E1790" s="18" t="s">
        <v>59</v>
      </c>
      <c r="F1790" s="21">
        <v>405</v>
      </c>
    </row>
    <row r="1791" spans="2:6" x14ac:dyDescent="0.25">
      <c r="B1791" s="18" t="s">
        <v>31</v>
      </c>
      <c r="C1791" s="19">
        <f>40915+(3*365)</f>
        <v>42010</v>
      </c>
      <c r="D1791" s="18" t="s">
        <v>70</v>
      </c>
      <c r="E1791" s="18" t="s">
        <v>72</v>
      </c>
      <c r="F1791" s="21">
        <v>4212</v>
      </c>
    </row>
    <row r="1792" spans="2:6" x14ac:dyDescent="0.25">
      <c r="B1792" s="18" t="s">
        <v>8</v>
      </c>
      <c r="C1792" s="19">
        <f>40164+(3*365)</f>
        <v>41259</v>
      </c>
      <c r="D1792" s="18" t="s">
        <v>77</v>
      </c>
      <c r="E1792" s="18" t="s">
        <v>66</v>
      </c>
      <c r="F1792" s="21">
        <v>252</v>
      </c>
    </row>
    <row r="1793" spans="2:6" x14ac:dyDescent="0.25">
      <c r="B1793" s="18" t="s">
        <v>21</v>
      </c>
      <c r="C1793" s="19">
        <f>40978+(3*365)</f>
        <v>42073</v>
      </c>
      <c r="D1793" s="18" t="s">
        <v>73</v>
      </c>
      <c r="E1793" s="18" t="s">
        <v>64</v>
      </c>
      <c r="F1793" s="21">
        <v>2924</v>
      </c>
    </row>
    <row r="1794" spans="2:6" x14ac:dyDescent="0.25">
      <c r="B1794" s="18" t="s">
        <v>18</v>
      </c>
      <c r="C1794" s="19">
        <f>41159+(3*365)</f>
        <v>42254</v>
      </c>
      <c r="D1794" s="18" t="s">
        <v>68</v>
      </c>
      <c r="E1794" s="18" t="s">
        <v>64</v>
      </c>
      <c r="F1794" s="21">
        <v>8550</v>
      </c>
    </row>
    <row r="1795" spans="2:6" x14ac:dyDescent="0.25">
      <c r="B1795" s="18" t="s">
        <v>18</v>
      </c>
      <c r="C1795" s="19">
        <f>40738+(3*365)</f>
        <v>41833</v>
      </c>
      <c r="D1795" s="18" t="s">
        <v>68</v>
      </c>
      <c r="E1795" s="18" t="s">
        <v>63</v>
      </c>
      <c r="F1795" s="21">
        <v>504</v>
      </c>
    </row>
    <row r="1796" spans="2:6" x14ac:dyDescent="0.25">
      <c r="B1796" s="18" t="s">
        <v>18</v>
      </c>
      <c r="C1796" s="19">
        <f>39819+(3*365)</f>
        <v>40914</v>
      </c>
      <c r="D1796" s="18" t="s">
        <v>68</v>
      </c>
      <c r="E1796" s="18" t="s">
        <v>59</v>
      </c>
      <c r="F1796" s="21">
        <v>544</v>
      </c>
    </row>
    <row r="1797" spans="2:6" x14ac:dyDescent="0.25">
      <c r="B1797" s="18" t="s">
        <v>10</v>
      </c>
      <c r="C1797" s="19">
        <f>40906+(3*365)</f>
        <v>42001</v>
      </c>
      <c r="D1797" s="18" t="s">
        <v>65</v>
      </c>
      <c r="E1797" s="18" t="s">
        <v>69</v>
      </c>
      <c r="F1797" s="21">
        <v>854</v>
      </c>
    </row>
    <row r="1798" spans="2:6" x14ac:dyDescent="0.25">
      <c r="B1798" s="18" t="s">
        <v>8</v>
      </c>
      <c r="C1798" s="19">
        <f>41026+(3*365)</f>
        <v>42121</v>
      </c>
      <c r="D1798" s="18" t="s">
        <v>81</v>
      </c>
      <c r="E1798" s="18" t="s">
        <v>61</v>
      </c>
      <c r="F1798" s="21">
        <v>2016</v>
      </c>
    </row>
    <row r="1799" spans="2:6" x14ac:dyDescent="0.25">
      <c r="B1799" s="18" t="s">
        <v>18</v>
      </c>
      <c r="C1799" s="19">
        <f>41090+(3*365)</f>
        <v>42185</v>
      </c>
      <c r="D1799" s="18" t="s">
        <v>68</v>
      </c>
      <c r="E1799" s="18" t="s">
        <v>59</v>
      </c>
      <c r="F1799" s="21">
        <v>648</v>
      </c>
    </row>
    <row r="1800" spans="2:6" x14ac:dyDescent="0.25">
      <c r="B1800" s="18" t="s">
        <v>18</v>
      </c>
      <c r="C1800" s="19">
        <f>40332+(3*365)</f>
        <v>41427</v>
      </c>
      <c r="D1800" s="18" t="s">
        <v>68</v>
      </c>
      <c r="E1800" s="18" t="s">
        <v>63</v>
      </c>
      <c r="F1800" s="21">
        <v>837</v>
      </c>
    </row>
    <row r="1801" spans="2:6" x14ac:dyDescent="0.25">
      <c r="B1801" s="18" t="s">
        <v>25</v>
      </c>
      <c r="C1801" s="19">
        <f>39849+(3*365)</f>
        <v>40944</v>
      </c>
      <c r="D1801" s="18" t="s">
        <v>78</v>
      </c>
      <c r="E1801" s="18" t="s">
        <v>63</v>
      </c>
      <c r="F1801" s="21">
        <v>550</v>
      </c>
    </row>
    <row r="1802" spans="2:6" x14ac:dyDescent="0.25">
      <c r="B1802" s="18" t="s">
        <v>9</v>
      </c>
      <c r="C1802" s="19">
        <f>40359+(3*365)</f>
        <v>41454</v>
      </c>
      <c r="D1802" s="18" t="s">
        <v>62</v>
      </c>
      <c r="E1802" s="18" t="s">
        <v>72</v>
      </c>
      <c r="F1802" s="21">
        <v>2758</v>
      </c>
    </row>
    <row r="1803" spans="2:6" x14ac:dyDescent="0.25">
      <c r="B1803" s="18" t="s">
        <v>11</v>
      </c>
      <c r="C1803" s="19">
        <f>40545+(3*365)</f>
        <v>41640</v>
      </c>
      <c r="D1803" s="18" t="s">
        <v>74</v>
      </c>
      <c r="E1803" s="18" t="s">
        <v>69</v>
      </c>
      <c r="F1803" s="21">
        <v>3171</v>
      </c>
    </row>
    <row r="1804" spans="2:6" x14ac:dyDescent="0.25">
      <c r="B1804" s="18" t="s">
        <v>18</v>
      </c>
      <c r="C1804" s="19">
        <f>40261+(3*365)</f>
        <v>41356</v>
      </c>
      <c r="D1804" s="18" t="s">
        <v>68</v>
      </c>
      <c r="E1804" s="18" t="s">
        <v>66</v>
      </c>
      <c r="F1804" s="21">
        <v>600</v>
      </c>
    </row>
    <row r="1805" spans="2:6" x14ac:dyDescent="0.25">
      <c r="B1805" s="18" t="s">
        <v>11</v>
      </c>
      <c r="C1805" s="19">
        <f>40564+(3*365)</f>
        <v>41659</v>
      </c>
      <c r="D1805" s="18" t="s">
        <v>74</v>
      </c>
      <c r="E1805" s="18" t="s">
        <v>75</v>
      </c>
      <c r="F1805" s="21">
        <v>408</v>
      </c>
    </row>
    <row r="1806" spans="2:6" x14ac:dyDescent="0.25">
      <c r="B1806" s="18" t="s">
        <v>31</v>
      </c>
      <c r="C1806" s="19">
        <f>40583+(3*365)</f>
        <v>41678</v>
      </c>
      <c r="D1806" s="18" t="s">
        <v>70</v>
      </c>
      <c r="E1806" s="18" t="s">
        <v>59</v>
      </c>
      <c r="F1806" s="21">
        <v>714</v>
      </c>
    </row>
    <row r="1807" spans="2:6" x14ac:dyDescent="0.25">
      <c r="B1807" s="18" t="s">
        <v>18</v>
      </c>
      <c r="C1807" s="19">
        <f>40830+(3*365)</f>
        <v>41925</v>
      </c>
      <c r="D1807" s="18" t="s">
        <v>68</v>
      </c>
      <c r="E1807" s="18" t="s">
        <v>75</v>
      </c>
      <c r="F1807" s="21">
        <v>260</v>
      </c>
    </row>
    <row r="1808" spans="2:6" x14ac:dyDescent="0.25">
      <c r="B1808" s="18" t="s">
        <v>21</v>
      </c>
      <c r="C1808" s="19">
        <f>40251+(3*365)</f>
        <v>41346</v>
      </c>
      <c r="D1808" s="18" t="s">
        <v>73</v>
      </c>
      <c r="E1808" s="18" t="s">
        <v>66</v>
      </c>
      <c r="F1808" s="21">
        <v>686</v>
      </c>
    </row>
    <row r="1809" spans="2:6" x14ac:dyDescent="0.25">
      <c r="B1809" s="18" t="s">
        <v>11</v>
      </c>
      <c r="C1809" s="19">
        <f>40617+(3*365)</f>
        <v>41712</v>
      </c>
      <c r="D1809" s="18" t="s">
        <v>74</v>
      </c>
      <c r="E1809" s="18" t="s">
        <v>59</v>
      </c>
      <c r="F1809" s="21">
        <v>228</v>
      </c>
    </row>
    <row r="1810" spans="2:6" x14ac:dyDescent="0.25">
      <c r="B1810" s="18" t="s">
        <v>8</v>
      </c>
      <c r="C1810" s="19">
        <f>41042+(3*365)</f>
        <v>42137</v>
      </c>
      <c r="D1810" s="18" t="s">
        <v>77</v>
      </c>
      <c r="E1810" s="18" t="s">
        <v>69</v>
      </c>
      <c r="F1810" s="21">
        <v>5664</v>
      </c>
    </row>
    <row r="1811" spans="2:6" x14ac:dyDescent="0.25">
      <c r="B1811" s="18" t="s">
        <v>10</v>
      </c>
      <c r="C1811" s="19">
        <f>40779+(3*365)</f>
        <v>41874</v>
      </c>
      <c r="D1811" s="18" t="s">
        <v>65</v>
      </c>
      <c r="E1811" s="18" t="s">
        <v>75</v>
      </c>
      <c r="F1811" s="21">
        <v>180</v>
      </c>
    </row>
    <row r="1812" spans="2:6" x14ac:dyDescent="0.25">
      <c r="B1812" s="18" t="s">
        <v>11</v>
      </c>
      <c r="C1812" s="19">
        <f>41212+(3*365)</f>
        <v>42307</v>
      </c>
      <c r="D1812" s="18" t="s">
        <v>60</v>
      </c>
      <c r="E1812" s="18" t="s">
        <v>61</v>
      </c>
      <c r="F1812" s="21">
        <v>232</v>
      </c>
    </row>
    <row r="1813" spans="2:6" x14ac:dyDescent="0.25">
      <c r="B1813" s="18" t="s">
        <v>18</v>
      </c>
      <c r="C1813" s="19">
        <f>39888+(3*365)</f>
        <v>40983</v>
      </c>
      <c r="D1813" s="18" t="s">
        <v>68</v>
      </c>
      <c r="E1813" s="18" t="s">
        <v>66</v>
      </c>
      <c r="F1813" s="21">
        <v>1218</v>
      </c>
    </row>
    <row r="1814" spans="2:6" x14ac:dyDescent="0.25">
      <c r="B1814" s="18" t="s">
        <v>31</v>
      </c>
      <c r="C1814" s="19">
        <f>39881+(3*365)</f>
        <v>40976</v>
      </c>
      <c r="D1814" s="18" t="s">
        <v>70</v>
      </c>
      <c r="E1814" s="18" t="s">
        <v>64</v>
      </c>
      <c r="F1814" s="21">
        <v>1608</v>
      </c>
    </row>
    <row r="1815" spans="2:6" x14ac:dyDescent="0.25">
      <c r="B1815" s="18" t="s">
        <v>21</v>
      </c>
      <c r="C1815" s="19">
        <f>39915+(3*365)</f>
        <v>41010</v>
      </c>
      <c r="D1815" s="18" t="s">
        <v>73</v>
      </c>
      <c r="E1815" s="18" t="s">
        <v>75</v>
      </c>
      <c r="F1815" s="21">
        <v>46</v>
      </c>
    </row>
    <row r="1816" spans="2:6" x14ac:dyDescent="0.25">
      <c r="B1816" s="18" t="s">
        <v>31</v>
      </c>
      <c r="C1816" s="19">
        <f>41092+(3*365)</f>
        <v>42187</v>
      </c>
      <c r="D1816" s="18" t="s">
        <v>70</v>
      </c>
      <c r="E1816" s="18" t="s">
        <v>72</v>
      </c>
      <c r="F1816" s="21">
        <v>4734</v>
      </c>
    </row>
    <row r="1817" spans="2:6" x14ac:dyDescent="0.25">
      <c r="B1817" s="18" t="s">
        <v>18</v>
      </c>
      <c r="C1817" s="19">
        <f>41043+(3*365)</f>
        <v>42138</v>
      </c>
      <c r="D1817" s="18" t="s">
        <v>71</v>
      </c>
      <c r="E1817" s="18" t="s">
        <v>66</v>
      </c>
      <c r="F1817" s="21">
        <v>756</v>
      </c>
    </row>
    <row r="1818" spans="2:6" x14ac:dyDescent="0.25">
      <c r="B1818" s="18" t="s">
        <v>10</v>
      </c>
      <c r="C1818" s="19">
        <f>40439+(3*365)</f>
        <v>41534</v>
      </c>
      <c r="D1818" s="18" t="s">
        <v>67</v>
      </c>
      <c r="E1818" s="18" t="s">
        <v>72</v>
      </c>
      <c r="F1818" s="21">
        <v>5544</v>
      </c>
    </row>
    <row r="1819" spans="2:6" x14ac:dyDescent="0.25">
      <c r="B1819" s="18" t="s">
        <v>31</v>
      </c>
      <c r="C1819" s="19">
        <f>40419+(3*365)</f>
        <v>41514</v>
      </c>
      <c r="D1819" s="18" t="s">
        <v>70</v>
      </c>
      <c r="E1819" s="18" t="s">
        <v>72</v>
      </c>
      <c r="F1819" s="21">
        <v>2688</v>
      </c>
    </row>
    <row r="1820" spans="2:6" x14ac:dyDescent="0.25">
      <c r="B1820" s="18" t="s">
        <v>31</v>
      </c>
      <c r="C1820" s="19">
        <f>40234+(3*365)</f>
        <v>41329</v>
      </c>
      <c r="D1820" s="18" t="s">
        <v>70</v>
      </c>
      <c r="E1820" s="18" t="s">
        <v>63</v>
      </c>
      <c r="F1820" s="21">
        <v>360</v>
      </c>
    </row>
    <row r="1821" spans="2:6" x14ac:dyDescent="0.25">
      <c r="B1821" s="18" t="s">
        <v>10</v>
      </c>
      <c r="C1821" s="19">
        <f>41255+(3*365)</f>
        <v>42350</v>
      </c>
      <c r="D1821" s="18" t="s">
        <v>65</v>
      </c>
      <c r="E1821" s="18" t="s">
        <v>72</v>
      </c>
      <c r="F1821" s="21">
        <v>1380</v>
      </c>
    </row>
    <row r="1822" spans="2:6" x14ac:dyDescent="0.25">
      <c r="B1822" s="18" t="s">
        <v>25</v>
      </c>
      <c r="C1822" s="19">
        <f>40114+(3*365)</f>
        <v>41209</v>
      </c>
      <c r="D1822" s="18" t="s">
        <v>78</v>
      </c>
      <c r="E1822" s="18" t="s">
        <v>59</v>
      </c>
      <c r="F1822" s="21">
        <v>684</v>
      </c>
    </row>
    <row r="1823" spans="2:6" x14ac:dyDescent="0.25">
      <c r="B1823" s="18" t="s">
        <v>18</v>
      </c>
      <c r="C1823" s="19">
        <f>40195+(3*365)</f>
        <v>41290</v>
      </c>
      <c r="D1823" s="18" t="s">
        <v>71</v>
      </c>
      <c r="E1823" s="18" t="s">
        <v>75</v>
      </c>
      <c r="F1823" s="21">
        <v>672</v>
      </c>
    </row>
    <row r="1824" spans="2:6" x14ac:dyDescent="0.25">
      <c r="B1824" s="18" t="s">
        <v>31</v>
      </c>
      <c r="C1824" s="19">
        <f>41209+(3*365)</f>
        <v>42304</v>
      </c>
      <c r="D1824" s="18" t="s">
        <v>76</v>
      </c>
      <c r="E1824" s="18" t="s">
        <v>59</v>
      </c>
      <c r="F1824" s="21">
        <v>84</v>
      </c>
    </row>
    <row r="1825" spans="2:6" x14ac:dyDescent="0.25">
      <c r="B1825" s="18" t="s">
        <v>25</v>
      </c>
      <c r="C1825" s="19">
        <f>41011+(3*365)</f>
        <v>42106</v>
      </c>
      <c r="D1825" s="18" t="s">
        <v>79</v>
      </c>
      <c r="E1825" s="18" t="s">
        <v>72</v>
      </c>
      <c r="F1825" s="21">
        <v>240</v>
      </c>
    </row>
    <row r="1826" spans="2:6" x14ac:dyDescent="0.25">
      <c r="B1826" s="18" t="s">
        <v>9</v>
      </c>
      <c r="C1826" s="19">
        <f>40712+(3*365)</f>
        <v>41807</v>
      </c>
      <c r="D1826" s="18" t="s">
        <v>62</v>
      </c>
      <c r="E1826" s="18" t="s">
        <v>66</v>
      </c>
      <c r="F1826" s="21">
        <v>765</v>
      </c>
    </row>
    <row r="1827" spans="2:6" x14ac:dyDescent="0.25">
      <c r="B1827" s="18" t="s">
        <v>25</v>
      </c>
      <c r="C1827" s="19">
        <f>40035+(3*365)</f>
        <v>41130</v>
      </c>
      <c r="D1827" s="18" t="s">
        <v>78</v>
      </c>
      <c r="E1827" s="18" t="s">
        <v>61</v>
      </c>
      <c r="F1827" s="21">
        <v>1024</v>
      </c>
    </row>
    <row r="1828" spans="2:6" x14ac:dyDescent="0.25">
      <c r="B1828" s="18" t="s">
        <v>21</v>
      </c>
      <c r="C1828" s="19">
        <f>41205+(3*365)</f>
        <v>42300</v>
      </c>
      <c r="D1828" s="18" t="s">
        <v>73</v>
      </c>
      <c r="E1828" s="18" t="s">
        <v>75</v>
      </c>
      <c r="F1828" s="21">
        <v>68</v>
      </c>
    </row>
    <row r="1829" spans="2:6" x14ac:dyDescent="0.25">
      <c r="B1829" s="18" t="s">
        <v>18</v>
      </c>
      <c r="C1829" s="19">
        <f>40836+(3*365)</f>
        <v>41931</v>
      </c>
      <c r="D1829" s="18" t="s">
        <v>68</v>
      </c>
      <c r="E1829" s="18" t="s">
        <v>75</v>
      </c>
      <c r="F1829" s="21">
        <v>288</v>
      </c>
    </row>
    <row r="1830" spans="2:6" x14ac:dyDescent="0.25">
      <c r="B1830" s="18" t="s">
        <v>8</v>
      </c>
      <c r="C1830" s="19">
        <f>40492+(3*365)</f>
        <v>41587</v>
      </c>
      <c r="D1830" s="18" t="s">
        <v>77</v>
      </c>
      <c r="E1830" s="18" t="s">
        <v>64</v>
      </c>
      <c r="F1830" s="21">
        <v>12096</v>
      </c>
    </row>
    <row r="1831" spans="2:6" x14ac:dyDescent="0.25">
      <c r="B1831" s="18" t="s">
        <v>8</v>
      </c>
      <c r="C1831" s="19">
        <f>40923+(3*365)</f>
        <v>42018</v>
      </c>
      <c r="D1831" s="18" t="s">
        <v>81</v>
      </c>
      <c r="E1831" s="18" t="s">
        <v>72</v>
      </c>
      <c r="F1831" s="21">
        <v>2448</v>
      </c>
    </row>
    <row r="1832" spans="2:6" x14ac:dyDescent="0.25">
      <c r="B1832" s="18" t="s">
        <v>18</v>
      </c>
      <c r="C1832" s="19">
        <f>41153+(3*365)</f>
        <v>42248</v>
      </c>
      <c r="D1832" s="18" t="s">
        <v>71</v>
      </c>
      <c r="E1832" s="18" t="s">
        <v>61</v>
      </c>
      <c r="F1832" s="21">
        <v>231</v>
      </c>
    </row>
    <row r="1833" spans="2:6" x14ac:dyDescent="0.25">
      <c r="B1833" s="18" t="s">
        <v>8</v>
      </c>
      <c r="C1833" s="19">
        <f>41108+(3*365)</f>
        <v>42203</v>
      </c>
      <c r="D1833" s="18" t="s">
        <v>81</v>
      </c>
      <c r="E1833" s="18" t="s">
        <v>69</v>
      </c>
      <c r="F1833" s="21">
        <v>3060</v>
      </c>
    </row>
    <row r="1834" spans="2:6" x14ac:dyDescent="0.25">
      <c r="B1834" s="18" t="s">
        <v>10</v>
      </c>
      <c r="C1834" s="19">
        <f>41238+(3*365)</f>
        <v>42333</v>
      </c>
      <c r="D1834" s="18" t="s">
        <v>65</v>
      </c>
      <c r="E1834" s="18" t="s">
        <v>69</v>
      </c>
      <c r="F1834" s="21">
        <v>690</v>
      </c>
    </row>
    <row r="1835" spans="2:6" x14ac:dyDescent="0.25">
      <c r="B1835" s="18" t="s">
        <v>11</v>
      </c>
      <c r="C1835" s="19">
        <f>40478+(3*365)</f>
        <v>41573</v>
      </c>
      <c r="D1835" s="18" t="s">
        <v>60</v>
      </c>
      <c r="E1835" s="18" t="s">
        <v>69</v>
      </c>
      <c r="F1835" s="21">
        <v>2982</v>
      </c>
    </row>
    <row r="1836" spans="2:6" x14ac:dyDescent="0.25">
      <c r="B1836" s="18" t="s">
        <v>9</v>
      </c>
      <c r="C1836" s="19">
        <f>40594+(3*365)</f>
        <v>41689</v>
      </c>
      <c r="D1836" s="18" t="s">
        <v>62</v>
      </c>
      <c r="E1836" s="18" t="s">
        <v>63</v>
      </c>
      <c r="F1836" s="21">
        <v>975</v>
      </c>
    </row>
    <row r="1837" spans="2:6" x14ac:dyDescent="0.25">
      <c r="B1837" s="18" t="s">
        <v>11</v>
      </c>
      <c r="C1837" s="19">
        <f>40198+(3*365)</f>
        <v>41293</v>
      </c>
      <c r="D1837" s="18" t="s">
        <v>74</v>
      </c>
      <c r="E1837" s="18" t="s">
        <v>75</v>
      </c>
      <c r="F1837" s="21">
        <v>555</v>
      </c>
    </row>
    <row r="1838" spans="2:6" x14ac:dyDescent="0.25">
      <c r="B1838" s="18" t="s">
        <v>11</v>
      </c>
      <c r="C1838" s="19">
        <f>39828+(3*365)</f>
        <v>40923</v>
      </c>
      <c r="D1838" s="18" t="s">
        <v>74</v>
      </c>
      <c r="E1838" s="18" t="s">
        <v>59</v>
      </c>
      <c r="F1838" s="21">
        <v>312</v>
      </c>
    </row>
    <row r="1839" spans="2:6" x14ac:dyDescent="0.25">
      <c r="B1839" s="18" t="s">
        <v>21</v>
      </c>
      <c r="C1839" s="19">
        <f>40203+(3*365)</f>
        <v>41298</v>
      </c>
      <c r="D1839" s="18" t="s">
        <v>58</v>
      </c>
      <c r="E1839" s="18" t="s">
        <v>64</v>
      </c>
      <c r="F1839" s="21">
        <v>12726</v>
      </c>
    </row>
    <row r="1840" spans="2:6" x14ac:dyDescent="0.25">
      <c r="B1840" s="18" t="s">
        <v>18</v>
      </c>
      <c r="C1840" s="19">
        <f>41162+(3*365)</f>
        <v>42257</v>
      </c>
      <c r="D1840" s="18" t="s">
        <v>68</v>
      </c>
      <c r="E1840" s="18" t="s">
        <v>66</v>
      </c>
      <c r="F1840" s="21">
        <v>840</v>
      </c>
    </row>
    <row r="1841" spans="2:6" x14ac:dyDescent="0.25">
      <c r="B1841" s="18" t="s">
        <v>8</v>
      </c>
      <c r="C1841" s="19">
        <f>39961+(3*365)</f>
        <v>41056</v>
      </c>
      <c r="D1841" s="18" t="s">
        <v>77</v>
      </c>
      <c r="E1841" s="18" t="s">
        <v>63</v>
      </c>
      <c r="F1841" s="21">
        <v>288</v>
      </c>
    </row>
    <row r="1842" spans="2:6" x14ac:dyDescent="0.25">
      <c r="B1842" s="18" t="s">
        <v>9</v>
      </c>
      <c r="C1842" s="19">
        <f>40898+(3*365)</f>
        <v>41993</v>
      </c>
      <c r="D1842" s="18" t="s">
        <v>62</v>
      </c>
      <c r="E1842" s="18" t="s">
        <v>64</v>
      </c>
      <c r="F1842" s="21">
        <v>2880</v>
      </c>
    </row>
    <row r="1843" spans="2:6" x14ac:dyDescent="0.25">
      <c r="B1843" s="18" t="s">
        <v>18</v>
      </c>
      <c r="C1843" s="19">
        <f>40473+(3*365)</f>
        <v>41568</v>
      </c>
      <c r="D1843" s="18" t="s">
        <v>71</v>
      </c>
      <c r="E1843" s="18" t="s">
        <v>64</v>
      </c>
      <c r="F1843" s="21">
        <v>10545</v>
      </c>
    </row>
    <row r="1844" spans="2:6" x14ac:dyDescent="0.25">
      <c r="B1844" s="18" t="s">
        <v>11</v>
      </c>
      <c r="C1844" s="19">
        <f>40167+(3*365)</f>
        <v>41262</v>
      </c>
      <c r="D1844" s="18" t="s">
        <v>74</v>
      </c>
      <c r="E1844" s="18" t="s">
        <v>75</v>
      </c>
      <c r="F1844" s="21">
        <v>153</v>
      </c>
    </row>
    <row r="1845" spans="2:6" x14ac:dyDescent="0.25">
      <c r="B1845" s="18" t="s">
        <v>9</v>
      </c>
      <c r="C1845" s="19">
        <f>40947+(3*365)</f>
        <v>42042</v>
      </c>
      <c r="D1845" s="18" t="s">
        <v>62</v>
      </c>
      <c r="E1845" s="18" t="s">
        <v>64</v>
      </c>
      <c r="F1845" s="21">
        <v>886</v>
      </c>
    </row>
    <row r="1846" spans="2:6" x14ac:dyDescent="0.25">
      <c r="B1846" s="18" t="s">
        <v>11</v>
      </c>
      <c r="C1846" s="19">
        <f>41036+(3*365)</f>
        <v>42131</v>
      </c>
      <c r="D1846" s="18" t="s">
        <v>60</v>
      </c>
      <c r="E1846" s="18" t="s">
        <v>59</v>
      </c>
      <c r="F1846" s="21">
        <v>600</v>
      </c>
    </row>
    <row r="1847" spans="2:6" x14ac:dyDescent="0.25">
      <c r="B1847" s="18" t="s">
        <v>21</v>
      </c>
      <c r="C1847" s="19">
        <f>40547+(3*365)</f>
        <v>41642</v>
      </c>
      <c r="D1847" s="18" t="s">
        <v>73</v>
      </c>
      <c r="E1847" s="18" t="s">
        <v>72</v>
      </c>
      <c r="F1847" s="21">
        <v>2412</v>
      </c>
    </row>
    <row r="1848" spans="2:6" x14ac:dyDescent="0.25">
      <c r="B1848" s="18" t="s">
        <v>9</v>
      </c>
      <c r="C1848" s="19">
        <f>41051+(3*365)</f>
        <v>42146</v>
      </c>
      <c r="D1848" s="18" t="s">
        <v>80</v>
      </c>
      <c r="E1848" s="18" t="s">
        <v>75</v>
      </c>
      <c r="F1848" s="21">
        <v>38</v>
      </c>
    </row>
    <row r="1849" spans="2:6" x14ac:dyDescent="0.25">
      <c r="B1849" s="18" t="s">
        <v>25</v>
      </c>
      <c r="C1849" s="19">
        <f>41013+(3*365)</f>
        <v>42108</v>
      </c>
      <c r="D1849" s="18" t="s">
        <v>79</v>
      </c>
      <c r="E1849" s="18" t="s">
        <v>75</v>
      </c>
      <c r="F1849" s="21">
        <v>558</v>
      </c>
    </row>
    <row r="1850" spans="2:6" x14ac:dyDescent="0.25">
      <c r="B1850" s="18" t="s">
        <v>21</v>
      </c>
      <c r="C1850" s="19">
        <f>41272+(3*365)</f>
        <v>42367</v>
      </c>
      <c r="D1850" s="18" t="s">
        <v>73</v>
      </c>
      <c r="E1850" s="18" t="s">
        <v>66</v>
      </c>
      <c r="F1850" s="21">
        <v>2952</v>
      </c>
    </row>
    <row r="1851" spans="2:6" x14ac:dyDescent="0.25">
      <c r="B1851" s="18" t="s">
        <v>8</v>
      </c>
      <c r="C1851" s="19">
        <f>39925+(3*365)</f>
        <v>41020</v>
      </c>
      <c r="D1851" s="18" t="s">
        <v>77</v>
      </c>
      <c r="E1851" s="18" t="s">
        <v>72</v>
      </c>
      <c r="F1851" s="21">
        <v>2592</v>
      </c>
    </row>
    <row r="1852" spans="2:6" x14ac:dyDescent="0.25">
      <c r="B1852" s="18" t="s">
        <v>31</v>
      </c>
      <c r="C1852" s="19">
        <f>40596+(3*365)</f>
        <v>41691</v>
      </c>
      <c r="D1852" s="18" t="s">
        <v>70</v>
      </c>
      <c r="E1852" s="18" t="s">
        <v>61</v>
      </c>
      <c r="F1852" s="21">
        <v>915</v>
      </c>
    </row>
    <row r="1853" spans="2:6" x14ac:dyDescent="0.25">
      <c r="B1853" s="18" t="s">
        <v>8</v>
      </c>
      <c r="C1853" s="19">
        <f>40949+(3*365)</f>
        <v>42044</v>
      </c>
      <c r="D1853" s="18" t="s">
        <v>77</v>
      </c>
      <c r="E1853" s="18" t="s">
        <v>66</v>
      </c>
      <c r="F1853" s="21">
        <v>924</v>
      </c>
    </row>
    <row r="1854" spans="2:6" x14ac:dyDescent="0.25">
      <c r="B1854" s="18" t="s">
        <v>21</v>
      </c>
      <c r="C1854" s="19">
        <f>40208+(3*365)</f>
        <v>41303</v>
      </c>
      <c r="D1854" s="18" t="s">
        <v>58</v>
      </c>
      <c r="E1854" s="18" t="s">
        <v>75</v>
      </c>
      <c r="F1854" s="21">
        <v>28</v>
      </c>
    </row>
    <row r="1855" spans="2:6" x14ac:dyDescent="0.25">
      <c r="B1855" s="18" t="s">
        <v>11</v>
      </c>
      <c r="C1855" s="19">
        <f>40425+(3*365)</f>
        <v>41520</v>
      </c>
      <c r="D1855" s="18" t="s">
        <v>60</v>
      </c>
      <c r="E1855" s="18" t="s">
        <v>61</v>
      </c>
      <c r="F1855" s="21">
        <v>1155</v>
      </c>
    </row>
    <row r="1856" spans="2:6" x14ac:dyDescent="0.25">
      <c r="B1856" s="18" t="s">
        <v>10</v>
      </c>
      <c r="C1856" s="19">
        <f>41137+(3*365)</f>
        <v>42232</v>
      </c>
      <c r="D1856" s="18" t="s">
        <v>67</v>
      </c>
      <c r="E1856" s="18" t="s">
        <v>59</v>
      </c>
      <c r="F1856" s="21">
        <v>270</v>
      </c>
    </row>
    <row r="1857" spans="2:6" x14ac:dyDescent="0.25">
      <c r="B1857" s="18" t="s">
        <v>21</v>
      </c>
      <c r="C1857" s="19">
        <f>40166+(3*365)</f>
        <v>41261</v>
      </c>
      <c r="D1857" s="18" t="s">
        <v>73</v>
      </c>
      <c r="E1857" s="18" t="s">
        <v>69</v>
      </c>
      <c r="F1857" s="21">
        <v>1113</v>
      </c>
    </row>
    <row r="1858" spans="2:6" x14ac:dyDescent="0.25">
      <c r="B1858" s="18" t="s">
        <v>8</v>
      </c>
      <c r="C1858" s="19">
        <f>41036+(3*365)</f>
        <v>42131</v>
      </c>
      <c r="D1858" s="18" t="s">
        <v>81</v>
      </c>
      <c r="E1858" s="18" t="s">
        <v>63</v>
      </c>
      <c r="F1858" s="21">
        <v>1792</v>
      </c>
    </row>
    <row r="1859" spans="2:6" x14ac:dyDescent="0.25">
      <c r="B1859" s="18" t="s">
        <v>8</v>
      </c>
      <c r="C1859" s="19">
        <f>40733+(3*365)</f>
        <v>41828</v>
      </c>
      <c r="D1859" s="18" t="s">
        <v>77</v>
      </c>
      <c r="E1859" s="18" t="s">
        <v>63</v>
      </c>
      <c r="F1859" s="21">
        <v>672</v>
      </c>
    </row>
    <row r="1860" spans="2:6" x14ac:dyDescent="0.25">
      <c r="B1860" s="18" t="s">
        <v>25</v>
      </c>
      <c r="C1860" s="19">
        <f>40416+(3*365)</f>
        <v>41511</v>
      </c>
      <c r="D1860" s="18" t="s">
        <v>79</v>
      </c>
      <c r="E1860" s="18" t="s">
        <v>75</v>
      </c>
      <c r="F1860" s="21">
        <v>372</v>
      </c>
    </row>
    <row r="1861" spans="2:6" x14ac:dyDescent="0.25">
      <c r="B1861" s="18" t="s">
        <v>31</v>
      </c>
      <c r="C1861" s="19">
        <f>40370+(3*365)</f>
        <v>41465</v>
      </c>
      <c r="D1861" s="18" t="s">
        <v>70</v>
      </c>
      <c r="E1861" s="18" t="s">
        <v>75</v>
      </c>
      <c r="F1861" s="21">
        <v>270</v>
      </c>
    </row>
    <row r="1862" spans="2:6" x14ac:dyDescent="0.25">
      <c r="B1862" s="18" t="s">
        <v>21</v>
      </c>
      <c r="C1862" s="19">
        <f>41263+(3*365)</f>
        <v>42358</v>
      </c>
      <c r="D1862" s="18" t="s">
        <v>73</v>
      </c>
      <c r="E1862" s="18" t="s">
        <v>66</v>
      </c>
      <c r="F1862" s="21">
        <v>1080</v>
      </c>
    </row>
    <row r="1863" spans="2:6" x14ac:dyDescent="0.25">
      <c r="B1863" s="18" t="s">
        <v>8</v>
      </c>
      <c r="C1863" s="19">
        <f>40281+(3*365)</f>
        <v>41376</v>
      </c>
      <c r="D1863" s="18" t="s">
        <v>77</v>
      </c>
      <c r="E1863" s="18" t="s">
        <v>64</v>
      </c>
      <c r="F1863" s="21">
        <v>12060</v>
      </c>
    </row>
    <row r="1864" spans="2:6" x14ac:dyDescent="0.25">
      <c r="B1864" s="18" t="s">
        <v>9</v>
      </c>
      <c r="C1864" s="19">
        <f>39996+(3*365)</f>
        <v>41091</v>
      </c>
      <c r="D1864" s="18" t="s">
        <v>80</v>
      </c>
      <c r="E1864" s="18" t="s">
        <v>64</v>
      </c>
      <c r="F1864" s="21">
        <v>7506</v>
      </c>
    </row>
    <row r="1865" spans="2:6" x14ac:dyDescent="0.25">
      <c r="B1865" s="18" t="s">
        <v>18</v>
      </c>
      <c r="C1865" s="19">
        <f>40099+(3*365)</f>
        <v>41194</v>
      </c>
      <c r="D1865" s="18" t="s">
        <v>71</v>
      </c>
      <c r="E1865" s="18" t="s">
        <v>61</v>
      </c>
      <c r="F1865" s="21">
        <v>154</v>
      </c>
    </row>
    <row r="1866" spans="2:6" x14ac:dyDescent="0.25">
      <c r="B1866" s="18" t="s">
        <v>11</v>
      </c>
      <c r="C1866" s="19">
        <f>40133+(3*365)</f>
        <v>41228</v>
      </c>
      <c r="D1866" s="18" t="s">
        <v>74</v>
      </c>
      <c r="E1866" s="18" t="s">
        <v>66</v>
      </c>
      <c r="F1866" s="21">
        <v>1566</v>
      </c>
    </row>
    <row r="1867" spans="2:6" x14ac:dyDescent="0.25">
      <c r="B1867" s="18" t="s">
        <v>25</v>
      </c>
      <c r="C1867" s="19">
        <f>41148+(3*365)</f>
        <v>42243</v>
      </c>
      <c r="D1867" s="18" t="s">
        <v>78</v>
      </c>
      <c r="E1867" s="18" t="s">
        <v>72</v>
      </c>
      <c r="F1867" s="21">
        <v>524</v>
      </c>
    </row>
    <row r="1868" spans="2:6" x14ac:dyDescent="0.25">
      <c r="B1868" s="18" t="s">
        <v>10</v>
      </c>
      <c r="C1868" s="19">
        <f>39956+(3*365)</f>
        <v>41051</v>
      </c>
      <c r="D1868" s="18" t="s">
        <v>65</v>
      </c>
      <c r="E1868" s="18" t="s">
        <v>72</v>
      </c>
      <c r="F1868" s="21">
        <v>400</v>
      </c>
    </row>
    <row r="1869" spans="2:6" x14ac:dyDescent="0.25">
      <c r="B1869" s="18" t="s">
        <v>10</v>
      </c>
      <c r="C1869" s="19">
        <f>40869+(3*365)</f>
        <v>41964</v>
      </c>
      <c r="D1869" s="18" t="s">
        <v>65</v>
      </c>
      <c r="E1869" s="18" t="s">
        <v>66</v>
      </c>
      <c r="F1869" s="21">
        <v>1232</v>
      </c>
    </row>
    <row r="1870" spans="2:6" x14ac:dyDescent="0.25">
      <c r="B1870" s="18" t="s">
        <v>8</v>
      </c>
      <c r="C1870" s="19">
        <f>40670+(3*365)</f>
        <v>41765</v>
      </c>
      <c r="D1870" s="18" t="s">
        <v>81</v>
      </c>
      <c r="E1870" s="18" t="s">
        <v>61</v>
      </c>
      <c r="F1870" s="21">
        <v>320</v>
      </c>
    </row>
    <row r="1871" spans="2:6" x14ac:dyDescent="0.25">
      <c r="B1871" s="18" t="s">
        <v>9</v>
      </c>
      <c r="C1871" s="19">
        <f>40806+(3*365)</f>
        <v>41901</v>
      </c>
      <c r="D1871" s="18" t="s">
        <v>62</v>
      </c>
      <c r="E1871" s="18" t="s">
        <v>69</v>
      </c>
      <c r="F1871" s="21">
        <v>357</v>
      </c>
    </row>
    <row r="1872" spans="2:6" x14ac:dyDescent="0.25">
      <c r="B1872" s="18" t="s">
        <v>11</v>
      </c>
      <c r="C1872" s="19">
        <f>40158+(3*365)</f>
        <v>41253</v>
      </c>
      <c r="D1872" s="18" t="s">
        <v>74</v>
      </c>
      <c r="E1872" s="18" t="s">
        <v>61</v>
      </c>
      <c r="F1872" s="21">
        <v>150</v>
      </c>
    </row>
    <row r="1873" spans="2:6" x14ac:dyDescent="0.25">
      <c r="B1873" s="18" t="s">
        <v>18</v>
      </c>
      <c r="C1873" s="19">
        <f>40569+(3*365)</f>
        <v>41664</v>
      </c>
      <c r="D1873" s="18" t="s">
        <v>68</v>
      </c>
      <c r="E1873" s="18" t="s">
        <v>59</v>
      </c>
      <c r="F1873" s="21">
        <v>728</v>
      </c>
    </row>
    <row r="1874" spans="2:6" x14ac:dyDescent="0.25">
      <c r="B1874" s="18" t="s">
        <v>25</v>
      </c>
      <c r="C1874" s="19">
        <f>40579+(3*365)</f>
        <v>41674</v>
      </c>
      <c r="D1874" s="18" t="s">
        <v>78</v>
      </c>
      <c r="E1874" s="18" t="s">
        <v>69</v>
      </c>
      <c r="F1874" s="21">
        <v>5216</v>
      </c>
    </row>
    <row r="1875" spans="2:6" x14ac:dyDescent="0.25">
      <c r="B1875" s="18" t="s">
        <v>31</v>
      </c>
      <c r="C1875" s="19">
        <f>39902+(3*365)</f>
        <v>40997</v>
      </c>
      <c r="D1875" s="18" t="s">
        <v>76</v>
      </c>
      <c r="E1875" s="18" t="s">
        <v>66</v>
      </c>
      <c r="F1875" s="21">
        <v>768</v>
      </c>
    </row>
    <row r="1876" spans="2:6" x14ac:dyDescent="0.25">
      <c r="B1876" s="18" t="s">
        <v>21</v>
      </c>
      <c r="C1876" s="19">
        <f>40746+(3*365)</f>
        <v>41841</v>
      </c>
      <c r="D1876" s="18" t="s">
        <v>73</v>
      </c>
      <c r="E1876" s="18" t="s">
        <v>75</v>
      </c>
      <c r="F1876" s="21">
        <v>66</v>
      </c>
    </row>
    <row r="1877" spans="2:6" x14ac:dyDescent="0.25">
      <c r="B1877" s="18" t="s">
        <v>8</v>
      </c>
      <c r="C1877" s="19">
        <f>41004+(3*365)</f>
        <v>42099</v>
      </c>
      <c r="D1877" s="18" t="s">
        <v>77</v>
      </c>
      <c r="E1877" s="18" t="s">
        <v>72</v>
      </c>
      <c r="F1877" s="21">
        <v>1880</v>
      </c>
    </row>
    <row r="1878" spans="2:6" x14ac:dyDescent="0.25">
      <c r="B1878" s="18" t="s">
        <v>18</v>
      </c>
      <c r="C1878" s="19">
        <f>41146+(3*365)</f>
        <v>42241</v>
      </c>
      <c r="D1878" s="18" t="s">
        <v>68</v>
      </c>
      <c r="E1878" s="18" t="s">
        <v>69</v>
      </c>
      <c r="F1878" s="21">
        <v>2943</v>
      </c>
    </row>
    <row r="1879" spans="2:6" x14ac:dyDescent="0.25">
      <c r="B1879" s="18" t="s">
        <v>18</v>
      </c>
      <c r="C1879" s="19">
        <f>40763+(3*365)</f>
        <v>41858</v>
      </c>
      <c r="D1879" s="18" t="s">
        <v>68</v>
      </c>
      <c r="E1879" s="18" t="s">
        <v>72</v>
      </c>
      <c r="F1879" s="21">
        <v>660</v>
      </c>
    </row>
    <row r="1880" spans="2:6" x14ac:dyDescent="0.25">
      <c r="B1880" s="18" t="s">
        <v>10</v>
      </c>
      <c r="C1880" s="19">
        <f>40027+(3*365)</f>
        <v>41122</v>
      </c>
      <c r="D1880" s="18" t="s">
        <v>65</v>
      </c>
      <c r="E1880" s="18" t="s">
        <v>72</v>
      </c>
      <c r="F1880" s="21">
        <v>5112</v>
      </c>
    </row>
    <row r="1881" spans="2:6" x14ac:dyDescent="0.25">
      <c r="B1881" s="18" t="s">
        <v>21</v>
      </c>
      <c r="C1881" s="19">
        <f>41219+(3*365)</f>
        <v>42314</v>
      </c>
      <c r="D1881" s="18" t="s">
        <v>58</v>
      </c>
      <c r="E1881" s="18" t="s">
        <v>72</v>
      </c>
      <c r="F1881" s="21">
        <v>2196</v>
      </c>
    </row>
    <row r="1882" spans="2:6" x14ac:dyDescent="0.25">
      <c r="B1882" s="18" t="s">
        <v>9</v>
      </c>
      <c r="C1882" s="19">
        <f>40613+(3*365)</f>
        <v>41708</v>
      </c>
      <c r="D1882" s="18" t="s">
        <v>80</v>
      </c>
      <c r="E1882" s="18" t="s">
        <v>64</v>
      </c>
      <c r="F1882" s="21">
        <v>5172</v>
      </c>
    </row>
    <row r="1883" spans="2:6" x14ac:dyDescent="0.25">
      <c r="B1883" s="18" t="s">
        <v>31</v>
      </c>
      <c r="C1883" s="19">
        <f>40685+(3*365)</f>
        <v>41780</v>
      </c>
      <c r="D1883" s="18" t="s">
        <v>76</v>
      </c>
      <c r="E1883" s="18" t="s">
        <v>59</v>
      </c>
      <c r="F1883" s="21">
        <v>198</v>
      </c>
    </row>
    <row r="1884" spans="2:6" x14ac:dyDescent="0.25">
      <c r="B1884" s="18" t="s">
        <v>10</v>
      </c>
      <c r="C1884" s="19">
        <f>41260+(3*365)</f>
        <v>42355</v>
      </c>
      <c r="D1884" s="18" t="s">
        <v>67</v>
      </c>
      <c r="E1884" s="18" t="s">
        <v>63</v>
      </c>
      <c r="F1884" s="21">
        <v>1377</v>
      </c>
    </row>
    <row r="1885" spans="2:6" x14ac:dyDescent="0.25">
      <c r="B1885" s="18" t="s">
        <v>25</v>
      </c>
      <c r="C1885" s="19">
        <f>40610+(3*365)</f>
        <v>41705</v>
      </c>
      <c r="D1885" s="18" t="s">
        <v>79</v>
      </c>
      <c r="E1885" s="18" t="s">
        <v>63</v>
      </c>
      <c r="F1885" s="21">
        <v>400</v>
      </c>
    </row>
    <row r="1886" spans="2:6" x14ac:dyDescent="0.25">
      <c r="B1886" s="18" t="s">
        <v>31</v>
      </c>
      <c r="C1886" s="19">
        <f>40996+(3*365)</f>
        <v>42091</v>
      </c>
      <c r="D1886" s="18" t="s">
        <v>70</v>
      </c>
      <c r="E1886" s="18" t="s">
        <v>64</v>
      </c>
      <c r="F1886" s="21">
        <v>19656</v>
      </c>
    </row>
    <row r="1887" spans="2:6" x14ac:dyDescent="0.25">
      <c r="B1887" s="18" t="s">
        <v>8</v>
      </c>
      <c r="C1887" s="19">
        <f>40819+(3*365)</f>
        <v>41914</v>
      </c>
      <c r="D1887" s="18" t="s">
        <v>81</v>
      </c>
      <c r="E1887" s="18" t="s">
        <v>66</v>
      </c>
      <c r="F1887" s="21">
        <v>2380</v>
      </c>
    </row>
    <row r="1888" spans="2:6" x14ac:dyDescent="0.25">
      <c r="B1888" s="18" t="s">
        <v>31</v>
      </c>
      <c r="C1888" s="19">
        <f>39975+(3*365)</f>
        <v>41070</v>
      </c>
      <c r="D1888" s="18" t="s">
        <v>70</v>
      </c>
      <c r="E1888" s="18" t="s">
        <v>66</v>
      </c>
      <c r="F1888" s="21">
        <v>1365</v>
      </c>
    </row>
    <row r="1889" spans="2:6" x14ac:dyDescent="0.25">
      <c r="B1889" s="18" t="s">
        <v>18</v>
      </c>
      <c r="C1889" s="19">
        <f>40033+(3*365)</f>
        <v>41128</v>
      </c>
      <c r="D1889" s="18" t="s">
        <v>71</v>
      </c>
      <c r="E1889" s="18" t="s">
        <v>75</v>
      </c>
      <c r="F1889" s="21">
        <v>288</v>
      </c>
    </row>
    <row r="1890" spans="2:6" x14ac:dyDescent="0.25">
      <c r="B1890" s="18" t="s">
        <v>31</v>
      </c>
      <c r="C1890" s="19">
        <f>40860+(3*365)</f>
        <v>41955</v>
      </c>
      <c r="D1890" s="18" t="s">
        <v>70</v>
      </c>
      <c r="E1890" s="18" t="s">
        <v>59</v>
      </c>
      <c r="F1890" s="21">
        <v>333</v>
      </c>
    </row>
    <row r="1891" spans="2:6" x14ac:dyDescent="0.25">
      <c r="B1891" s="18" t="s">
        <v>21</v>
      </c>
      <c r="C1891" s="19">
        <f>39983+(3*365)</f>
        <v>41078</v>
      </c>
      <c r="D1891" s="18" t="s">
        <v>73</v>
      </c>
      <c r="E1891" s="18" t="s">
        <v>66</v>
      </c>
      <c r="F1891" s="21">
        <v>66</v>
      </c>
    </row>
    <row r="1892" spans="2:6" x14ac:dyDescent="0.25">
      <c r="B1892" s="18" t="s">
        <v>21</v>
      </c>
      <c r="C1892" s="19">
        <f>41256+(3*365)</f>
        <v>42351</v>
      </c>
      <c r="D1892" s="18" t="s">
        <v>58</v>
      </c>
      <c r="E1892" s="18" t="s">
        <v>61</v>
      </c>
      <c r="F1892" s="21">
        <v>2628</v>
      </c>
    </row>
    <row r="1893" spans="2:6" x14ac:dyDescent="0.25">
      <c r="B1893" s="18" t="s">
        <v>21</v>
      </c>
      <c r="C1893" s="19">
        <f>40483+(3*365)</f>
        <v>41578</v>
      </c>
      <c r="D1893" s="18" t="s">
        <v>73</v>
      </c>
      <c r="E1893" s="18" t="s">
        <v>75</v>
      </c>
      <c r="F1893" s="21">
        <v>468</v>
      </c>
    </row>
    <row r="1894" spans="2:6" x14ac:dyDescent="0.25">
      <c r="B1894" s="18" t="s">
        <v>31</v>
      </c>
      <c r="C1894" s="19">
        <f>40925+(3*365)</f>
        <v>42020</v>
      </c>
      <c r="D1894" s="18" t="s">
        <v>70</v>
      </c>
      <c r="E1894" s="18" t="s">
        <v>69</v>
      </c>
      <c r="F1894" s="21">
        <v>606</v>
      </c>
    </row>
    <row r="1895" spans="2:6" x14ac:dyDescent="0.25">
      <c r="B1895" s="18" t="s">
        <v>8</v>
      </c>
      <c r="C1895" s="19">
        <f>40600+(3*365)</f>
        <v>41695</v>
      </c>
      <c r="D1895" s="18" t="s">
        <v>81</v>
      </c>
      <c r="E1895" s="18" t="s">
        <v>61</v>
      </c>
      <c r="F1895" s="21">
        <v>1008</v>
      </c>
    </row>
    <row r="1896" spans="2:6" x14ac:dyDescent="0.25">
      <c r="B1896" s="18" t="s">
        <v>21</v>
      </c>
      <c r="C1896" s="19">
        <f>40720+(3*365)</f>
        <v>41815</v>
      </c>
      <c r="D1896" s="18" t="s">
        <v>73</v>
      </c>
      <c r="E1896" s="18" t="s">
        <v>64</v>
      </c>
      <c r="F1896" s="21">
        <v>2610</v>
      </c>
    </row>
    <row r="1897" spans="2:6" x14ac:dyDescent="0.25">
      <c r="B1897" s="18" t="s">
        <v>31</v>
      </c>
      <c r="C1897" s="19">
        <f>40663+(3*365)</f>
        <v>41758</v>
      </c>
      <c r="D1897" s="18" t="s">
        <v>70</v>
      </c>
      <c r="E1897" s="18" t="s">
        <v>75</v>
      </c>
      <c r="F1897" s="21">
        <v>117</v>
      </c>
    </row>
    <row r="1898" spans="2:6" x14ac:dyDescent="0.25">
      <c r="B1898" s="18" t="s">
        <v>9</v>
      </c>
      <c r="C1898" s="19">
        <f>40150+(3*365)</f>
        <v>41245</v>
      </c>
      <c r="D1898" s="18" t="s">
        <v>62</v>
      </c>
      <c r="E1898" s="18" t="s">
        <v>72</v>
      </c>
      <c r="F1898" s="21">
        <v>1284</v>
      </c>
    </row>
    <row r="1899" spans="2:6" x14ac:dyDescent="0.25">
      <c r="B1899" s="18" t="s">
        <v>9</v>
      </c>
      <c r="C1899" s="19">
        <f>39991+(3*365)</f>
        <v>41086</v>
      </c>
      <c r="D1899" s="18" t="s">
        <v>80</v>
      </c>
      <c r="E1899" s="18" t="s">
        <v>69</v>
      </c>
      <c r="F1899" s="21">
        <v>1500</v>
      </c>
    </row>
    <row r="1900" spans="2:6" x14ac:dyDescent="0.25">
      <c r="B1900" s="18" t="s">
        <v>31</v>
      </c>
      <c r="C1900" s="19">
        <f>40209+(3*365)</f>
        <v>41304</v>
      </c>
      <c r="D1900" s="18" t="s">
        <v>76</v>
      </c>
      <c r="E1900" s="18" t="s">
        <v>59</v>
      </c>
      <c r="F1900" s="21">
        <v>408</v>
      </c>
    </row>
    <row r="1901" spans="2:6" x14ac:dyDescent="0.25">
      <c r="B1901" s="18" t="s">
        <v>11</v>
      </c>
      <c r="C1901" s="19">
        <f>40160+(3*365)</f>
        <v>41255</v>
      </c>
      <c r="D1901" s="18" t="s">
        <v>74</v>
      </c>
      <c r="E1901" s="18" t="s">
        <v>64</v>
      </c>
      <c r="F1901" s="21">
        <v>7716</v>
      </c>
    </row>
    <row r="1902" spans="2:6" x14ac:dyDescent="0.25">
      <c r="B1902" s="18" t="s">
        <v>10</v>
      </c>
      <c r="C1902" s="19">
        <f>40748+(3*365)</f>
        <v>41843</v>
      </c>
      <c r="D1902" s="18" t="s">
        <v>67</v>
      </c>
      <c r="E1902" s="18" t="s">
        <v>63</v>
      </c>
      <c r="F1902" s="21">
        <v>400</v>
      </c>
    </row>
    <row r="1903" spans="2:6" x14ac:dyDescent="0.25">
      <c r="B1903" s="18" t="s">
        <v>10</v>
      </c>
      <c r="C1903" s="19">
        <f>40086+(3*365)</f>
        <v>41181</v>
      </c>
      <c r="D1903" s="18" t="s">
        <v>65</v>
      </c>
      <c r="E1903" s="18" t="s">
        <v>72</v>
      </c>
      <c r="F1903" s="21">
        <v>7072</v>
      </c>
    </row>
    <row r="1904" spans="2:6" x14ac:dyDescent="0.25">
      <c r="B1904" s="18" t="s">
        <v>18</v>
      </c>
      <c r="C1904" s="19">
        <f>41032+(3*365)</f>
        <v>42127</v>
      </c>
      <c r="D1904" s="18" t="s">
        <v>71</v>
      </c>
      <c r="E1904" s="18" t="s">
        <v>59</v>
      </c>
      <c r="F1904" s="21">
        <v>483</v>
      </c>
    </row>
    <row r="1905" spans="2:6" x14ac:dyDescent="0.25">
      <c r="B1905" s="18" t="s">
        <v>25</v>
      </c>
      <c r="C1905" s="19">
        <f>40481+(3*365)</f>
        <v>41576</v>
      </c>
      <c r="D1905" s="18" t="s">
        <v>78</v>
      </c>
      <c r="E1905" s="18" t="s">
        <v>64</v>
      </c>
      <c r="F1905" s="21">
        <v>8730</v>
      </c>
    </row>
    <row r="1906" spans="2:6" x14ac:dyDescent="0.25">
      <c r="B1906" s="18" t="s">
        <v>8</v>
      </c>
      <c r="C1906" s="19">
        <f>41215+(3*365)</f>
        <v>42310</v>
      </c>
      <c r="D1906" s="18" t="s">
        <v>77</v>
      </c>
      <c r="E1906" s="18" t="s">
        <v>64</v>
      </c>
      <c r="F1906" s="21">
        <v>4956</v>
      </c>
    </row>
    <row r="1907" spans="2:6" x14ac:dyDescent="0.25">
      <c r="B1907" s="18" t="s">
        <v>18</v>
      </c>
      <c r="C1907" s="19">
        <f>40764+(3*365)</f>
        <v>41859</v>
      </c>
      <c r="D1907" s="18" t="s">
        <v>71</v>
      </c>
      <c r="E1907" s="18" t="s">
        <v>64</v>
      </c>
      <c r="F1907" s="21">
        <v>9060</v>
      </c>
    </row>
    <row r="1908" spans="2:6" x14ac:dyDescent="0.25">
      <c r="B1908" s="18" t="s">
        <v>31</v>
      </c>
      <c r="C1908" s="19">
        <f>39822+(3*365)</f>
        <v>40917</v>
      </c>
      <c r="D1908" s="18" t="s">
        <v>76</v>
      </c>
      <c r="E1908" s="18" t="s">
        <v>59</v>
      </c>
      <c r="F1908" s="21">
        <v>594</v>
      </c>
    </row>
    <row r="1909" spans="2:6" x14ac:dyDescent="0.25">
      <c r="B1909" s="18" t="s">
        <v>25</v>
      </c>
      <c r="C1909" s="19">
        <f>41046+(3*365)</f>
        <v>42141</v>
      </c>
      <c r="D1909" s="18" t="s">
        <v>79</v>
      </c>
      <c r="E1909" s="18" t="s">
        <v>64</v>
      </c>
      <c r="F1909" s="21">
        <v>1400</v>
      </c>
    </row>
    <row r="1910" spans="2:6" x14ac:dyDescent="0.25">
      <c r="B1910" s="18" t="s">
        <v>21</v>
      </c>
      <c r="C1910" s="19">
        <f>40750+(3*365)</f>
        <v>41845</v>
      </c>
      <c r="D1910" s="18" t="s">
        <v>73</v>
      </c>
      <c r="E1910" s="18" t="s">
        <v>66</v>
      </c>
      <c r="F1910" s="21">
        <v>465</v>
      </c>
    </row>
    <row r="1911" spans="2:6" x14ac:dyDescent="0.25">
      <c r="B1911" s="18" t="s">
        <v>21</v>
      </c>
      <c r="C1911" s="19">
        <f>40170+(3*365)</f>
        <v>41265</v>
      </c>
      <c r="D1911" s="18" t="s">
        <v>73</v>
      </c>
      <c r="E1911" s="18" t="s">
        <v>72</v>
      </c>
      <c r="F1911" s="21">
        <v>540</v>
      </c>
    </row>
    <row r="1912" spans="2:6" x14ac:dyDescent="0.25">
      <c r="B1912" s="18" t="s">
        <v>18</v>
      </c>
      <c r="C1912" s="19">
        <f>40975+(3*365)</f>
        <v>42070</v>
      </c>
      <c r="D1912" s="18" t="s">
        <v>68</v>
      </c>
      <c r="E1912" s="18" t="s">
        <v>69</v>
      </c>
      <c r="F1912" s="21">
        <v>1032</v>
      </c>
    </row>
    <row r="1913" spans="2:6" x14ac:dyDescent="0.25">
      <c r="B1913" s="18" t="s">
        <v>25</v>
      </c>
      <c r="C1913" s="19">
        <f>40875+(3*365)</f>
        <v>41970</v>
      </c>
      <c r="D1913" s="18" t="s">
        <v>78</v>
      </c>
      <c r="E1913" s="18" t="s">
        <v>63</v>
      </c>
      <c r="F1913" s="21">
        <v>1344</v>
      </c>
    </row>
    <row r="1914" spans="2:6" x14ac:dyDescent="0.25">
      <c r="B1914" s="18" t="s">
        <v>31</v>
      </c>
      <c r="C1914" s="19">
        <f>40821+(3*365)</f>
        <v>41916</v>
      </c>
      <c r="D1914" s="18" t="s">
        <v>76</v>
      </c>
      <c r="E1914" s="18" t="s">
        <v>61</v>
      </c>
      <c r="F1914" s="21">
        <v>402</v>
      </c>
    </row>
    <row r="1915" spans="2:6" x14ac:dyDescent="0.25">
      <c r="B1915" s="18" t="s">
        <v>10</v>
      </c>
      <c r="C1915" s="19">
        <f>41021+(3*365)</f>
        <v>42116</v>
      </c>
      <c r="D1915" s="18" t="s">
        <v>65</v>
      </c>
      <c r="E1915" s="18" t="s">
        <v>69</v>
      </c>
      <c r="F1915" s="21">
        <v>3045</v>
      </c>
    </row>
    <row r="1916" spans="2:6" x14ac:dyDescent="0.25">
      <c r="B1916" s="18" t="s">
        <v>10</v>
      </c>
      <c r="C1916" s="19">
        <f>40793+(3*365)</f>
        <v>41888</v>
      </c>
      <c r="D1916" s="18" t="s">
        <v>67</v>
      </c>
      <c r="E1916" s="18" t="s">
        <v>75</v>
      </c>
      <c r="F1916" s="21">
        <v>304</v>
      </c>
    </row>
    <row r="1917" spans="2:6" x14ac:dyDescent="0.25">
      <c r="B1917" s="18" t="s">
        <v>25</v>
      </c>
      <c r="C1917" s="19">
        <f>41057+(3*365)</f>
        <v>42152</v>
      </c>
      <c r="D1917" s="18" t="s">
        <v>79</v>
      </c>
      <c r="E1917" s="18" t="s">
        <v>69</v>
      </c>
      <c r="F1917" s="21">
        <v>1710</v>
      </c>
    </row>
    <row r="1918" spans="2:6" x14ac:dyDescent="0.25">
      <c r="B1918" s="18" t="s">
        <v>11</v>
      </c>
      <c r="C1918" s="19">
        <f>40862+(3*365)</f>
        <v>41957</v>
      </c>
      <c r="D1918" s="18" t="s">
        <v>74</v>
      </c>
      <c r="E1918" s="18" t="s">
        <v>63</v>
      </c>
      <c r="F1918" s="21">
        <v>423</v>
      </c>
    </row>
    <row r="1919" spans="2:6" x14ac:dyDescent="0.25">
      <c r="B1919" s="18" t="s">
        <v>25</v>
      </c>
      <c r="C1919" s="19">
        <f>41243+(3*365)</f>
        <v>42338</v>
      </c>
      <c r="D1919" s="18" t="s">
        <v>79</v>
      </c>
      <c r="E1919" s="18" t="s">
        <v>69</v>
      </c>
      <c r="F1919" s="21">
        <v>1480</v>
      </c>
    </row>
    <row r="1920" spans="2:6" x14ac:dyDescent="0.25">
      <c r="B1920" s="18" t="s">
        <v>8</v>
      </c>
      <c r="C1920" s="19">
        <f>41026+(3*365)</f>
        <v>42121</v>
      </c>
      <c r="D1920" s="18" t="s">
        <v>77</v>
      </c>
      <c r="E1920" s="18" t="s">
        <v>63</v>
      </c>
      <c r="F1920" s="21">
        <v>1536</v>
      </c>
    </row>
    <row r="1921" spans="2:6" x14ac:dyDescent="0.25">
      <c r="B1921" s="18" t="s">
        <v>31</v>
      </c>
      <c r="C1921" s="19">
        <f>40263+(3*365)</f>
        <v>41358</v>
      </c>
      <c r="D1921" s="18" t="s">
        <v>70</v>
      </c>
      <c r="E1921" s="18" t="s">
        <v>63</v>
      </c>
      <c r="F1921" s="21">
        <v>1323</v>
      </c>
    </row>
    <row r="1922" spans="2:6" x14ac:dyDescent="0.25">
      <c r="B1922" s="18" t="s">
        <v>10</v>
      </c>
      <c r="C1922" s="19">
        <f>39954+(3*365)</f>
        <v>41049</v>
      </c>
      <c r="D1922" s="18" t="s">
        <v>67</v>
      </c>
      <c r="E1922" s="18" t="s">
        <v>63</v>
      </c>
      <c r="F1922" s="21">
        <v>1032</v>
      </c>
    </row>
    <row r="1923" spans="2:6" x14ac:dyDescent="0.25">
      <c r="B1923" s="18" t="s">
        <v>21</v>
      </c>
      <c r="C1923" s="19">
        <f>40111+(3*365)</f>
        <v>41206</v>
      </c>
      <c r="D1923" s="18" t="s">
        <v>58</v>
      </c>
      <c r="E1923" s="18" t="s">
        <v>69</v>
      </c>
      <c r="F1923" s="21">
        <v>328</v>
      </c>
    </row>
    <row r="1924" spans="2:6" x14ac:dyDescent="0.25">
      <c r="B1924" s="18" t="s">
        <v>9</v>
      </c>
      <c r="C1924" s="19">
        <f>41137+(3*365)</f>
        <v>42232</v>
      </c>
      <c r="D1924" s="18" t="s">
        <v>62</v>
      </c>
      <c r="E1924" s="18" t="s">
        <v>61</v>
      </c>
      <c r="F1924" s="21">
        <v>266</v>
      </c>
    </row>
    <row r="1925" spans="2:6" x14ac:dyDescent="0.25">
      <c r="B1925" s="18" t="s">
        <v>9</v>
      </c>
      <c r="C1925" s="19">
        <f>41165+(3*365)</f>
        <v>42260</v>
      </c>
      <c r="D1925" s="18" t="s">
        <v>62</v>
      </c>
      <c r="E1925" s="18" t="s">
        <v>75</v>
      </c>
      <c r="F1925" s="21">
        <v>108</v>
      </c>
    </row>
    <row r="1926" spans="2:6" x14ac:dyDescent="0.25">
      <c r="B1926" s="18" t="s">
        <v>10</v>
      </c>
      <c r="C1926" s="19">
        <f>40263+(3*365)</f>
        <v>41358</v>
      </c>
      <c r="D1926" s="18" t="s">
        <v>67</v>
      </c>
      <c r="E1926" s="18" t="s">
        <v>63</v>
      </c>
      <c r="F1926" s="21">
        <v>864</v>
      </c>
    </row>
    <row r="1927" spans="2:6" x14ac:dyDescent="0.25">
      <c r="B1927" s="18" t="s">
        <v>18</v>
      </c>
      <c r="C1927" s="19">
        <f>40454+(3*365)</f>
        <v>41549</v>
      </c>
      <c r="D1927" s="18" t="s">
        <v>71</v>
      </c>
      <c r="E1927" s="18" t="s">
        <v>75</v>
      </c>
      <c r="F1927" s="21">
        <v>279</v>
      </c>
    </row>
    <row r="1928" spans="2:6" x14ac:dyDescent="0.25">
      <c r="B1928" s="18" t="s">
        <v>11</v>
      </c>
      <c r="C1928" s="19">
        <f>41244+(3*365)</f>
        <v>42339</v>
      </c>
      <c r="D1928" s="18" t="s">
        <v>60</v>
      </c>
      <c r="E1928" s="18" t="s">
        <v>72</v>
      </c>
      <c r="F1928" s="21">
        <v>928</v>
      </c>
    </row>
    <row r="1929" spans="2:6" x14ac:dyDescent="0.25">
      <c r="B1929" s="18" t="s">
        <v>25</v>
      </c>
      <c r="C1929" s="19">
        <f>40827+(3*365)</f>
        <v>41922</v>
      </c>
      <c r="D1929" s="18" t="s">
        <v>79</v>
      </c>
      <c r="E1929" s="18" t="s">
        <v>61</v>
      </c>
      <c r="F1929" s="21">
        <v>188</v>
      </c>
    </row>
    <row r="1930" spans="2:6" x14ac:dyDescent="0.25">
      <c r="B1930" s="18" t="s">
        <v>21</v>
      </c>
      <c r="C1930" s="19">
        <f>41146+(3*365)</f>
        <v>42241</v>
      </c>
      <c r="D1930" s="18" t="s">
        <v>73</v>
      </c>
      <c r="E1930" s="18" t="s">
        <v>59</v>
      </c>
      <c r="F1930" s="21">
        <v>208</v>
      </c>
    </row>
    <row r="1931" spans="2:6" x14ac:dyDescent="0.25">
      <c r="B1931" s="18" t="s">
        <v>25</v>
      </c>
      <c r="C1931" s="19">
        <f>39827+(3*365)</f>
        <v>40922</v>
      </c>
      <c r="D1931" s="18" t="s">
        <v>78</v>
      </c>
      <c r="E1931" s="18" t="s">
        <v>75</v>
      </c>
      <c r="F1931" s="21">
        <v>252</v>
      </c>
    </row>
    <row r="1932" spans="2:6" x14ac:dyDescent="0.25">
      <c r="B1932" s="18" t="s">
        <v>25</v>
      </c>
      <c r="C1932" s="19">
        <f>39964+(3*365)</f>
        <v>41059</v>
      </c>
      <c r="D1932" s="18" t="s">
        <v>79</v>
      </c>
      <c r="E1932" s="18" t="s">
        <v>59</v>
      </c>
      <c r="F1932" s="21">
        <v>160</v>
      </c>
    </row>
    <row r="1933" spans="2:6" x14ac:dyDescent="0.25">
      <c r="B1933" s="18" t="s">
        <v>25</v>
      </c>
      <c r="C1933" s="19">
        <f>40221+(3*365)</f>
        <v>41316</v>
      </c>
      <c r="D1933" s="18" t="s">
        <v>79</v>
      </c>
      <c r="E1933" s="18" t="s">
        <v>66</v>
      </c>
      <c r="F1933" s="21">
        <v>666</v>
      </c>
    </row>
    <row r="1934" spans="2:6" x14ac:dyDescent="0.25">
      <c r="B1934" s="18" t="s">
        <v>31</v>
      </c>
      <c r="C1934" s="19">
        <f>40028+(3*365)</f>
        <v>41123</v>
      </c>
      <c r="D1934" s="18" t="s">
        <v>70</v>
      </c>
      <c r="E1934" s="18" t="s">
        <v>63</v>
      </c>
      <c r="F1934" s="21">
        <v>468</v>
      </c>
    </row>
    <row r="1935" spans="2:6" x14ac:dyDescent="0.25">
      <c r="B1935" s="18" t="s">
        <v>10</v>
      </c>
      <c r="C1935" s="19">
        <f>41219+(3*365)</f>
        <v>42314</v>
      </c>
      <c r="D1935" s="18" t="s">
        <v>67</v>
      </c>
      <c r="E1935" s="18" t="s">
        <v>64</v>
      </c>
      <c r="F1935" s="21">
        <v>11790</v>
      </c>
    </row>
    <row r="1936" spans="2:6" x14ac:dyDescent="0.25">
      <c r="B1936" s="18" t="s">
        <v>21</v>
      </c>
      <c r="C1936" s="19">
        <f>39946+(3*365)</f>
        <v>41041</v>
      </c>
      <c r="D1936" s="18" t="s">
        <v>58</v>
      </c>
      <c r="E1936" s="18" t="s">
        <v>72</v>
      </c>
      <c r="F1936" s="21">
        <v>755</v>
      </c>
    </row>
    <row r="1937" spans="2:6" x14ac:dyDescent="0.25">
      <c r="B1937" s="18" t="s">
        <v>21</v>
      </c>
      <c r="C1937" s="19">
        <f>40813+(3*365)</f>
        <v>41908</v>
      </c>
      <c r="D1937" s="18" t="s">
        <v>73</v>
      </c>
      <c r="E1937" s="18" t="s">
        <v>75</v>
      </c>
      <c r="F1937" s="21">
        <v>420</v>
      </c>
    </row>
    <row r="1938" spans="2:6" x14ac:dyDescent="0.25">
      <c r="B1938" s="18" t="s">
        <v>21</v>
      </c>
      <c r="C1938" s="19">
        <f>40792+(3*365)</f>
        <v>41887</v>
      </c>
      <c r="D1938" s="18" t="s">
        <v>58</v>
      </c>
      <c r="E1938" s="18" t="s">
        <v>72</v>
      </c>
      <c r="F1938" s="21">
        <v>837</v>
      </c>
    </row>
    <row r="1939" spans="2:6" x14ac:dyDescent="0.25">
      <c r="B1939" s="18" t="s">
        <v>18</v>
      </c>
      <c r="C1939" s="19">
        <f>39939+(3*365)</f>
        <v>41034</v>
      </c>
      <c r="D1939" s="18" t="s">
        <v>71</v>
      </c>
      <c r="E1939" s="18" t="s">
        <v>63</v>
      </c>
      <c r="F1939" s="21">
        <v>1062</v>
      </c>
    </row>
    <row r="1940" spans="2:6" x14ac:dyDescent="0.25">
      <c r="B1940" s="18" t="s">
        <v>18</v>
      </c>
      <c r="C1940" s="19">
        <f>40632+(3*365)</f>
        <v>41727</v>
      </c>
      <c r="D1940" s="18" t="s">
        <v>71</v>
      </c>
      <c r="E1940" s="18" t="s">
        <v>64</v>
      </c>
      <c r="F1940" s="21">
        <v>11664</v>
      </c>
    </row>
    <row r="1941" spans="2:6" x14ac:dyDescent="0.25">
      <c r="B1941" s="18" t="s">
        <v>18</v>
      </c>
      <c r="C1941" s="19">
        <f>40116+(3*365)</f>
        <v>41211</v>
      </c>
      <c r="D1941" s="18" t="s">
        <v>71</v>
      </c>
      <c r="E1941" s="18" t="s">
        <v>61</v>
      </c>
      <c r="F1941" s="21">
        <v>264</v>
      </c>
    </row>
    <row r="1942" spans="2:6" x14ac:dyDescent="0.25">
      <c r="B1942" s="18" t="s">
        <v>31</v>
      </c>
      <c r="C1942" s="19">
        <f>40447+(3*365)</f>
        <v>41542</v>
      </c>
      <c r="D1942" s="18" t="s">
        <v>76</v>
      </c>
      <c r="E1942" s="18" t="s">
        <v>59</v>
      </c>
      <c r="F1942" s="21">
        <v>513</v>
      </c>
    </row>
    <row r="1943" spans="2:6" x14ac:dyDescent="0.25">
      <c r="B1943" s="18" t="s">
        <v>25</v>
      </c>
      <c r="C1943" s="19">
        <f>40301+(3*365)</f>
        <v>41396</v>
      </c>
      <c r="D1943" s="18" t="s">
        <v>78</v>
      </c>
      <c r="E1943" s="18" t="s">
        <v>61</v>
      </c>
      <c r="F1943" s="21">
        <v>2106</v>
      </c>
    </row>
    <row r="1944" spans="2:6" x14ac:dyDescent="0.25">
      <c r="B1944" s="18" t="s">
        <v>25</v>
      </c>
      <c r="C1944" s="19">
        <f>40003+(3*365)</f>
        <v>41098</v>
      </c>
      <c r="D1944" s="18" t="s">
        <v>78</v>
      </c>
      <c r="E1944" s="18" t="s">
        <v>61</v>
      </c>
      <c r="F1944" s="21">
        <v>320</v>
      </c>
    </row>
    <row r="1945" spans="2:6" x14ac:dyDescent="0.25">
      <c r="B1945" s="18" t="s">
        <v>25</v>
      </c>
      <c r="C1945" s="19">
        <f>40049+(3*365)</f>
        <v>41144</v>
      </c>
      <c r="D1945" s="18" t="s">
        <v>79</v>
      </c>
      <c r="E1945" s="18" t="s">
        <v>69</v>
      </c>
      <c r="F1945" s="21">
        <v>2576</v>
      </c>
    </row>
    <row r="1946" spans="2:6" x14ac:dyDescent="0.25">
      <c r="B1946" s="18" t="s">
        <v>18</v>
      </c>
      <c r="C1946" s="19">
        <f>39834+(3*365)</f>
        <v>40929</v>
      </c>
      <c r="D1946" s="18" t="s">
        <v>68</v>
      </c>
      <c r="E1946" s="18" t="s">
        <v>66</v>
      </c>
      <c r="F1946" s="21">
        <v>140</v>
      </c>
    </row>
    <row r="1947" spans="2:6" x14ac:dyDescent="0.25">
      <c r="B1947" s="18" t="s">
        <v>31</v>
      </c>
      <c r="C1947" s="19">
        <f>40064+(3*365)</f>
        <v>41159</v>
      </c>
      <c r="D1947" s="18" t="s">
        <v>70</v>
      </c>
      <c r="E1947" s="18" t="s">
        <v>64</v>
      </c>
      <c r="F1947" s="21">
        <v>3168</v>
      </c>
    </row>
    <row r="1948" spans="2:6" x14ac:dyDescent="0.25">
      <c r="B1948" s="18" t="s">
        <v>10</v>
      </c>
      <c r="C1948" s="19">
        <f>40088+(3*365)</f>
        <v>41183</v>
      </c>
      <c r="D1948" s="18" t="s">
        <v>65</v>
      </c>
      <c r="E1948" s="18" t="s">
        <v>75</v>
      </c>
      <c r="F1948" s="21">
        <v>500</v>
      </c>
    </row>
    <row r="1949" spans="2:6" x14ac:dyDescent="0.25">
      <c r="B1949" s="18" t="s">
        <v>11</v>
      </c>
      <c r="C1949" s="19">
        <f>40476+(3*365)</f>
        <v>41571</v>
      </c>
      <c r="D1949" s="18" t="s">
        <v>60</v>
      </c>
      <c r="E1949" s="18" t="s">
        <v>61</v>
      </c>
      <c r="F1949" s="21">
        <v>360</v>
      </c>
    </row>
    <row r="1950" spans="2:6" x14ac:dyDescent="0.25">
      <c r="B1950" s="18" t="s">
        <v>8</v>
      </c>
      <c r="C1950" s="19">
        <f>40177+(3*365)</f>
        <v>41272</v>
      </c>
      <c r="D1950" s="18" t="s">
        <v>77</v>
      </c>
      <c r="E1950" s="18" t="s">
        <v>59</v>
      </c>
      <c r="F1950" s="21">
        <v>270</v>
      </c>
    </row>
    <row r="1951" spans="2:6" x14ac:dyDescent="0.25">
      <c r="B1951" s="18" t="s">
        <v>8</v>
      </c>
      <c r="C1951" s="19">
        <f>40384+(3*365)</f>
        <v>41479</v>
      </c>
      <c r="D1951" s="18" t="s">
        <v>81</v>
      </c>
      <c r="E1951" s="18" t="s">
        <v>75</v>
      </c>
      <c r="F1951" s="21">
        <v>132</v>
      </c>
    </row>
    <row r="1952" spans="2:6" x14ac:dyDescent="0.25">
      <c r="B1952" s="18" t="s">
        <v>10</v>
      </c>
      <c r="C1952" s="19">
        <f>41080+(3*365)</f>
        <v>42175</v>
      </c>
      <c r="D1952" s="18" t="s">
        <v>67</v>
      </c>
      <c r="E1952" s="18" t="s">
        <v>63</v>
      </c>
      <c r="F1952" s="21">
        <v>594</v>
      </c>
    </row>
    <row r="1953" spans="2:6" x14ac:dyDescent="0.25">
      <c r="B1953" s="18" t="s">
        <v>25</v>
      </c>
      <c r="C1953" s="19">
        <f>40942+(3*365)</f>
        <v>42037</v>
      </c>
      <c r="D1953" s="18" t="s">
        <v>79</v>
      </c>
      <c r="E1953" s="18" t="s">
        <v>61</v>
      </c>
      <c r="F1953" s="21">
        <v>264</v>
      </c>
    </row>
    <row r="1954" spans="2:6" x14ac:dyDescent="0.25">
      <c r="B1954" s="18" t="s">
        <v>25</v>
      </c>
      <c r="C1954" s="19">
        <f>40288+(3*365)</f>
        <v>41383</v>
      </c>
      <c r="D1954" s="18" t="s">
        <v>78</v>
      </c>
      <c r="E1954" s="18" t="s">
        <v>69</v>
      </c>
      <c r="F1954" s="21">
        <v>4752</v>
      </c>
    </row>
    <row r="1955" spans="2:6" x14ac:dyDescent="0.25">
      <c r="B1955" s="18" t="s">
        <v>10</v>
      </c>
      <c r="C1955" s="19">
        <f>40356+(3*365)</f>
        <v>41451</v>
      </c>
      <c r="D1955" s="18" t="s">
        <v>65</v>
      </c>
      <c r="E1955" s="18" t="s">
        <v>66</v>
      </c>
      <c r="F1955" s="21">
        <v>645</v>
      </c>
    </row>
    <row r="1956" spans="2:6" x14ac:dyDescent="0.25">
      <c r="B1956" s="18" t="s">
        <v>31</v>
      </c>
      <c r="C1956" s="19">
        <f>40328+(3*365)</f>
        <v>41423</v>
      </c>
      <c r="D1956" s="18" t="s">
        <v>70</v>
      </c>
      <c r="E1956" s="18" t="s">
        <v>72</v>
      </c>
      <c r="F1956" s="21">
        <v>2916</v>
      </c>
    </row>
    <row r="1957" spans="2:6" x14ac:dyDescent="0.25">
      <c r="B1957" s="18" t="s">
        <v>18</v>
      </c>
      <c r="C1957" s="19">
        <f>40878+(3*365)</f>
        <v>41973</v>
      </c>
      <c r="D1957" s="18" t="s">
        <v>71</v>
      </c>
      <c r="E1957" s="18" t="s">
        <v>66</v>
      </c>
      <c r="F1957" s="21">
        <v>2184</v>
      </c>
    </row>
    <row r="1958" spans="2:6" x14ac:dyDescent="0.25">
      <c r="B1958" s="18" t="s">
        <v>25</v>
      </c>
      <c r="C1958" s="19">
        <f>39840+(3*365)</f>
        <v>40935</v>
      </c>
      <c r="D1958" s="18" t="s">
        <v>79</v>
      </c>
      <c r="E1958" s="18" t="s">
        <v>75</v>
      </c>
      <c r="F1958" s="21">
        <v>336</v>
      </c>
    </row>
    <row r="1959" spans="2:6" x14ac:dyDescent="0.25">
      <c r="B1959" s="18" t="s">
        <v>11</v>
      </c>
      <c r="C1959" s="19">
        <f>40415+(3*365)</f>
        <v>41510</v>
      </c>
      <c r="D1959" s="18" t="s">
        <v>60</v>
      </c>
      <c r="E1959" s="18" t="s">
        <v>59</v>
      </c>
      <c r="F1959" s="21">
        <v>378</v>
      </c>
    </row>
    <row r="1960" spans="2:6" x14ac:dyDescent="0.25">
      <c r="B1960" s="18" t="s">
        <v>8</v>
      </c>
      <c r="C1960" s="19">
        <f>40346+(3*365)</f>
        <v>41441</v>
      </c>
      <c r="D1960" s="18" t="s">
        <v>81</v>
      </c>
      <c r="E1960" s="18" t="s">
        <v>75</v>
      </c>
      <c r="F1960" s="21">
        <v>1036</v>
      </c>
    </row>
    <row r="1961" spans="2:6" x14ac:dyDescent="0.25">
      <c r="B1961" s="18" t="s">
        <v>8</v>
      </c>
      <c r="C1961" s="19">
        <f>40196+(3*365)</f>
        <v>41291</v>
      </c>
      <c r="D1961" s="18" t="s">
        <v>81</v>
      </c>
      <c r="E1961" s="18" t="s">
        <v>63</v>
      </c>
      <c r="F1961" s="21">
        <v>1360</v>
      </c>
    </row>
    <row r="1962" spans="2:6" x14ac:dyDescent="0.25">
      <c r="B1962" s="18" t="s">
        <v>9</v>
      </c>
      <c r="C1962" s="19">
        <f>40427+(3*365)</f>
        <v>41522</v>
      </c>
      <c r="D1962" s="18" t="s">
        <v>80</v>
      </c>
      <c r="E1962" s="18" t="s">
        <v>59</v>
      </c>
      <c r="F1962" s="21">
        <v>192</v>
      </c>
    </row>
    <row r="1963" spans="2:6" x14ac:dyDescent="0.25">
      <c r="B1963" s="18" t="s">
        <v>21</v>
      </c>
      <c r="C1963" s="19">
        <f>40759+(3*365)</f>
        <v>41854</v>
      </c>
      <c r="D1963" s="18" t="s">
        <v>58</v>
      </c>
      <c r="E1963" s="18" t="s">
        <v>61</v>
      </c>
      <c r="F1963" s="21">
        <v>426</v>
      </c>
    </row>
    <row r="1964" spans="2:6" x14ac:dyDescent="0.25">
      <c r="B1964" s="18" t="s">
        <v>18</v>
      </c>
      <c r="C1964" s="19">
        <f>40645+(3*365)</f>
        <v>41740</v>
      </c>
      <c r="D1964" s="18" t="s">
        <v>71</v>
      </c>
      <c r="E1964" s="18" t="s">
        <v>59</v>
      </c>
      <c r="F1964" s="21">
        <v>116</v>
      </c>
    </row>
    <row r="1965" spans="2:6" x14ac:dyDescent="0.25">
      <c r="B1965" s="18" t="s">
        <v>11</v>
      </c>
      <c r="C1965" s="19">
        <f>41166+(3*365)</f>
        <v>42261</v>
      </c>
      <c r="D1965" s="18" t="s">
        <v>60</v>
      </c>
      <c r="E1965" s="18" t="s">
        <v>69</v>
      </c>
      <c r="F1965" s="21">
        <v>3444</v>
      </c>
    </row>
    <row r="1966" spans="2:6" x14ac:dyDescent="0.25">
      <c r="B1966" s="18" t="s">
        <v>9</v>
      </c>
      <c r="C1966" s="19">
        <f>40745+(3*365)</f>
        <v>41840</v>
      </c>
      <c r="D1966" s="18" t="s">
        <v>62</v>
      </c>
      <c r="E1966" s="18" t="s">
        <v>59</v>
      </c>
      <c r="F1966" s="21">
        <v>864</v>
      </c>
    </row>
    <row r="1967" spans="2:6" x14ac:dyDescent="0.25">
      <c r="B1967" s="18" t="s">
        <v>21</v>
      </c>
      <c r="C1967" s="19">
        <f>40925+(3*365)</f>
        <v>42020</v>
      </c>
      <c r="D1967" s="18" t="s">
        <v>58</v>
      </c>
      <c r="E1967" s="18" t="s">
        <v>61</v>
      </c>
      <c r="F1967" s="21">
        <v>624</v>
      </c>
    </row>
    <row r="1968" spans="2:6" x14ac:dyDescent="0.25">
      <c r="B1968" s="18" t="s">
        <v>8</v>
      </c>
      <c r="C1968" s="19">
        <f>40988+(3*365)</f>
        <v>42083</v>
      </c>
      <c r="D1968" s="18" t="s">
        <v>77</v>
      </c>
      <c r="E1968" s="18" t="s">
        <v>66</v>
      </c>
      <c r="F1968" s="21">
        <v>1620</v>
      </c>
    </row>
    <row r="1969" spans="2:6" x14ac:dyDescent="0.25">
      <c r="B1969" s="18" t="s">
        <v>11</v>
      </c>
      <c r="C1969" s="19">
        <f>40186+(3*365)</f>
        <v>41281</v>
      </c>
      <c r="D1969" s="18" t="s">
        <v>74</v>
      </c>
      <c r="E1969" s="18" t="s">
        <v>63</v>
      </c>
      <c r="F1969" s="21">
        <v>1008</v>
      </c>
    </row>
    <row r="1970" spans="2:6" x14ac:dyDescent="0.25">
      <c r="B1970" s="18" t="s">
        <v>31</v>
      </c>
      <c r="C1970" s="19">
        <f>40689+(3*365)</f>
        <v>41784</v>
      </c>
      <c r="D1970" s="18" t="s">
        <v>70</v>
      </c>
      <c r="E1970" s="18" t="s">
        <v>64</v>
      </c>
      <c r="F1970" s="21">
        <v>8940</v>
      </c>
    </row>
    <row r="1971" spans="2:6" x14ac:dyDescent="0.25">
      <c r="B1971" s="18" t="s">
        <v>10</v>
      </c>
      <c r="C1971" s="19">
        <f>40259+(3*365)</f>
        <v>41354</v>
      </c>
      <c r="D1971" s="18" t="s">
        <v>65</v>
      </c>
      <c r="E1971" s="18" t="s">
        <v>61</v>
      </c>
      <c r="F1971" s="21">
        <v>171</v>
      </c>
    </row>
    <row r="1972" spans="2:6" x14ac:dyDescent="0.25">
      <c r="B1972" s="18" t="s">
        <v>21</v>
      </c>
      <c r="C1972" s="19">
        <f>40997+(3*365)</f>
        <v>42092</v>
      </c>
      <c r="D1972" s="18" t="s">
        <v>58</v>
      </c>
      <c r="E1972" s="18" t="s">
        <v>59</v>
      </c>
      <c r="F1972" s="21">
        <v>136</v>
      </c>
    </row>
    <row r="1973" spans="2:6" x14ac:dyDescent="0.25">
      <c r="B1973" s="18" t="s">
        <v>18</v>
      </c>
      <c r="C1973" s="19">
        <f>40624+(3*365)</f>
        <v>41719</v>
      </c>
      <c r="D1973" s="18" t="s">
        <v>71</v>
      </c>
      <c r="E1973" s="18" t="s">
        <v>75</v>
      </c>
      <c r="F1973" s="21">
        <v>80</v>
      </c>
    </row>
    <row r="1974" spans="2:6" x14ac:dyDescent="0.25">
      <c r="B1974" s="18" t="s">
        <v>21</v>
      </c>
      <c r="C1974" s="19">
        <f>40398+(3*365)</f>
        <v>41493</v>
      </c>
      <c r="D1974" s="18" t="s">
        <v>73</v>
      </c>
      <c r="E1974" s="18" t="s">
        <v>66</v>
      </c>
      <c r="F1974" s="21">
        <v>996</v>
      </c>
    </row>
    <row r="1975" spans="2:6" x14ac:dyDescent="0.25">
      <c r="B1975" s="18" t="s">
        <v>18</v>
      </c>
      <c r="C1975" s="19">
        <f>40218+(3*365)</f>
        <v>41313</v>
      </c>
      <c r="D1975" s="18" t="s">
        <v>68</v>
      </c>
      <c r="E1975" s="18" t="s">
        <v>61</v>
      </c>
      <c r="F1975" s="21">
        <v>696</v>
      </c>
    </row>
    <row r="1976" spans="2:6" x14ac:dyDescent="0.25">
      <c r="B1976" s="18" t="s">
        <v>8</v>
      </c>
      <c r="C1976" s="19">
        <f>40824+(3*365)</f>
        <v>41919</v>
      </c>
      <c r="D1976" s="18" t="s">
        <v>81</v>
      </c>
      <c r="E1976" s="18" t="s">
        <v>66</v>
      </c>
      <c r="F1976" s="21">
        <v>2176</v>
      </c>
    </row>
    <row r="1977" spans="2:6" x14ac:dyDescent="0.25">
      <c r="B1977" s="18" t="s">
        <v>10</v>
      </c>
      <c r="C1977" s="19">
        <f>40217+(3*365)</f>
        <v>41312</v>
      </c>
      <c r="D1977" s="18" t="s">
        <v>67</v>
      </c>
      <c r="E1977" s="18" t="s">
        <v>75</v>
      </c>
      <c r="F1977" s="21">
        <v>744</v>
      </c>
    </row>
    <row r="1978" spans="2:6" x14ac:dyDescent="0.25">
      <c r="B1978" s="18" t="s">
        <v>10</v>
      </c>
      <c r="C1978" s="19">
        <f>40134+(3*365)</f>
        <v>41229</v>
      </c>
      <c r="D1978" s="18" t="s">
        <v>65</v>
      </c>
      <c r="E1978" s="18" t="s">
        <v>66</v>
      </c>
      <c r="F1978" s="21">
        <v>1512</v>
      </c>
    </row>
    <row r="1979" spans="2:6" x14ac:dyDescent="0.25">
      <c r="B1979" s="18" t="s">
        <v>21</v>
      </c>
      <c r="C1979" s="19">
        <f>40870+(3*365)</f>
        <v>41965</v>
      </c>
      <c r="D1979" s="18" t="s">
        <v>58</v>
      </c>
      <c r="E1979" s="18" t="s">
        <v>61</v>
      </c>
      <c r="F1979" s="21">
        <v>588</v>
      </c>
    </row>
    <row r="1980" spans="2:6" x14ac:dyDescent="0.25">
      <c r="B1980" s="18" t="s">
        <v>11</v>
      </c>
      <c r="C1980" s="19">
        <f>40212+(3*365)</f>
        <v>41307</v>
      </c>
      <c r="D1980" s="18" t="s">
        <v>60</v>
      </c>
      <c r="E1980" s="18" t="s">
        <v>75</v>
      </c>
      <c r="F1980" s="21">
        <v>465</v>
      </c>
    </row>
    <row r="1981" spans="2:6" x14ac:dyDescent="0.25">
      <c r="B1981" s="18" t="s">
        <v>21</v>
      </c>
      <c r="C1981" s="19">
        <f>41189+(3*365)</f>
        <v>42284</v>
      </c>
      <c r="D1981" s="18" t="s">
        <v>58</v>
      </c>
      <c r="E1981" s="18" t="s">
        <v>59</v>
      </c>
      <c r="F1981" s="21">
        <v>1260</v>
      </c>
    </row>
    <row r="1982" spans="2:6" x14ac:dyDescent="0.25">
      <c r="B1982" s="18" t="s">
        <v>11</v>
      </c>
      <c r="C1982" s="19">
        <f>40721+(3*365)</f>
        <v>41816</v>
      </c>
      <c r="D1982" s="18" t="s">
        <v>74</v>
      </c>
      <c r="E1982" s="18" t="s">
        <v>66</v>
      </c>
      <c r="F1982" s="21">
        <v>258</v>
      </c>
    </row>
    <row r="1983" spans="2:6" x14ac:dyDescent="0.25">
      <c r="B1983" s="18" t="s">
        <v>21</v>
      </c>
      <c r="C1983" s="19">
        <f>39958+(3*365)</f>
        <v>41053</v>
      </c>
      <c r="D1983" s="18" t="s">
        <v>58</v>
      </c>
      <c r="E1983" s="18" t="s">
        <v>75</v>
      </c>
      <c r="F1983" s="21">
        <v>52</v>
      </c>
    </row>
    <row r="1984" spans="2:6" x14ac:dyDescent="0.25">
      <c r="B1984" s="18" t="s">
        <v>18</v>
      </c>
      <c r="C1984" s="19">
        <f>40011+(3*365)</f>
        <v>41106</v>
      </c>
      <c r="D1984" s="18" t="s">
        <v>71</v>
      </c>
      <c r="E1984" s="18" t="s">
        <v>59</v>
      </c>
      <c r="F1984" s="21">
        <v>370</v>
      </c>
    </row>
    <row r="1985" spans="2:6" x14ac:dyDescent="0.25">
      <c r="B1985" s="18" t="s">
        <v>11</v>
      </c>
      <c r="C1985" s="19">
        <f>41025+(3*365)</f>
        <v>42120</v>
      </c>
      <c r="D1985" s="18" t="s">
        <v>60</v>
      </c>
      <c r="E1985" s="18" t="s">
        <v>61</v>
      </c>
      <c r="F1985" s="21">
        <v>612</v>
      </c>
    </row>
    <row r="1986" spans="2:6" x14ac:dyDescent="0.25">
      <c r="B1986" s="18" t="s">
        <v>11</v>
      </c>
      <c r="C1986" s="19">
        <f>41166+(3*365)</f>
        <v>42261</v>
      </c>
      <c r="D1986" s="18" t="s">
        <v>60</v>
      </c>
      <c r="E1986" s="18" t="s">
        <v>64</v>
      </c>
      <c r="F1986" s="21">
        <v>8992</v>
      </c>
    </row>
    <row r="1987" spans="2:6" x14ac:dyDescent="0.25">
      <c r="B1987" s="18" t="s">
        <v>25</v>
      </c>
      <c r="C1987" s="19">
        <f>40661+(3*365)</f>
        <v>41756</v>
      </c>
      <c r="D1987" s="18" t="s">
        <v>79</v>
      </c>
      <c r="E1987" s="18" t="s">
        <v>63</v>
      </c>
      <c r="F1987" s="21">
        <v>1416</v>
      </c>
    </row>
    <row r="1988" spans="2:6" x14ac:dyDescent="0.25">
      <c r="B1988" s="18" t="s">
        <v>25</v>
      </c>
      <c r="C1988" s="19">
        <f>40119+(3*365)</f>
        <v>41214</v>
      </c>
      <c r="D1988" s="18" t="s">
        <v>79</v>
      </c>
      <c r="E1988" s="18" t="s">
        <v>72</v>
      </c>
      <c r="F1988" s="21">
        <v>4698</v>
      </c>
    </row>
    <row r="1989" spans="2:6" x14ac:dyDescent="0.25">
      <c r="B1989" s="18" t="s">
        <v>25</v>
      </c>
      <c r="C1989" s="19">
        <f>40319+(3*365)</f>
        <v>41414</v>
      </c>
      <c r="D1989" s="18" t="s">
        <v>79</v>
      </c>
      <c r="E1989" s="18" t="s">
        <v>63</v>
      </c>
      <c r="F1989" s="21">
        <v>234</v>
      </c>
    </row>
    <row r="1990" spans="2:6" x14ac:dyDescent="0.25">
      <c r="B1990" s="18" t="s">
        <v>18</v>
      </c>
      <c r="C1990" s="19">
        <f>41229+(3*365)</f>
        <v>42324</v>
      </c>
      <c r="D1990" s="18" t="s">
        <v>71</v>
      </c>
      <c r="E1990" s="18" t="s">
        <v>63</v>
      </c>
      <c r="F1990" s="21">
        <v>987</v>
      </c>
    </row>
    <row r="1991" spans="2:6" x14ac:dyDescent="0.25">
      <c r="B1991" s="18" t="s">
        <v>10</v>
      </c>
      <c r="C1991" s="19">
        <f>40002+(3*365)</f>
        <v>41097</v>
      </c>
      <c r="D1991" s="18" t="s">
        <v>65</v>
      </c>
      <c r="E1991" s="18" t="s">
        <v>66</v>
      </c>
      <c r="F1991" s="21">
        <v>440</v>
      </c>
    </row>
    <row r="1992" spans="2:6" x14ac:dyDescent="0.25">
      <c r="B1992" s="18" t="s">
        <v>10</v>
      </c>
      <c r="C1992" s="19">
        <f>40230+(3*365)</f>
        <v>41325</v>
      </c>
      <c r="D1992" s="18" t="s">
        <v>67</v>
      </c>
      <c r="E1992" s="18" t="s">
        <v>69</v>
      </c>
      <c r="F1992" s="21">
        <v>4617</v>
      </c>
    </row>
    <row r="1993" spans="2:6" x14ac:dyDescent="0.25">
      <c r="B1993" s="18" t="s">
        <v>10</v>
      </c>
      <c r="C1993" s="19">
        <f>40665+(3*365)</f>
        <v>41760</v>
      </c>
      <c r="D1993" s="18" t="s">
        <v>65</v>
      </c>
      <c r="E1993" s="18" t="s">
        <v>61</v>
      </c>
      <c r="F1993" s="21">
        <v>448</v>
      </c>
    </row>
    <row r="1994" spans="2:6" x14ac:dyDescent="0.25">
      <c r="B1994" s="18" t="s">
        <v>8</v>
      </c>
      <c r="C1994" s="19">
        <f>41002+(3*365)</f>
        <v>42097</v>
      </c>
      <c r="D1994" s="18" t="s">
        <v>77</v>
      </c>
      <c r="E1994" s="18" t="s">
        <v>66</v>
      </c>
      <c r="F1994" s="21">
        <v>1312</v>
      </c>
    </row>
    <row r="1995" spans="2:6" x14ac:dyDescent="0.25">
      <c r="B1995" s="18" t="s">
        <v>25</v>
      </c>
      <c r="C1995" s="19">
        <f>41018+(3*365)</f>
        <v>42113</v>
      </c>
      <c r="D1995" s="18" t="s">
        <v>78</v>
      </c>
      <c r="E1995" s="18" t="s">
        <v>66</v>
      </c>
      <c r="F1995" s="21">
        <v>1106</v>
      </c>
    </row>
    <row r="1996" spans="2:6" x14ac:dyDescent="0.25">
      <c r="B1996" s="18" t="s">
        <v>10</v>
      </c>
      <c r="C1996" s="19">
        <f>40939+(3*365)</f>
        <v>42034</v>
      </c>
      <c r="D1996" s="18" t="s">
        <v>67</v>
      </c>
      <c r="E1996" s="18" t="s">
        <v>61</v>
      </c>
      <c r="F1996" s="21">
        <v>684</v>
      </c>
    </row>
    <row r="1997" spans="2:6" x14ac:dyDescent="0.25">
      <c r="B1997" s="18" t="s">
        <v>25</v>
      </c>
      <c r="C1997" s="19">
        <f>41151+(3*365)</f>
        <v>42246</v>
      </c>
      <c r="D1997" s="18" t="s">
        <v>78</v>
      </c>
      <c r="E1997" s="18" t="s">
        <v>64</v>
      </c>
      <c r="F1997" s="21">
        <v>9984</v>
      </c>
    </row>
    <row r="1998" spans="2:6" x14ac:dyDescent="0.25">
      <c r="B1998" s="18" t="s">
        <v>11</v>
      </c>
      <c r="C1998" s="19">
        <f>40952+(3*365)</f>
        <v>42047</v>
      </c>
      <c r="D1998" s="18" t="s">
        <v>60</v>
      </c>
      <c r="E1998" s="18" t="s">
        <v>63</v>
      </c>
      <c r="F1998" s="21">
        <v>520</v>
      </c>
    </row>
    <row r="1999" spans="2:6" x14ac:dyDescent="0.25">
      <c r="B1999" s="18" t="s">
        <v>10</v>
      </c>
      <c r="C1999" s="19">
        <f>39907+(3*365)</f>
        <v>41002</v>
      </c>
      <c r="D1999" s="18" t="s">
        <v>65</v>
      </c>
      <c r="E1999" s="18" t="s">
        <v>66</v>
      </c>
      <c r="F1999" s="21">
        <v>720</v>
      </c>
    </row>
    <row r="2000" spans="2:6" x14ac:dyDescent="0.25">
      <c r="B2000" s="18" t="s">
        <v>10</v>
      </c>
      <c r="C2000" s="19">
        <f>39847+(3*365)</f>
        <v>40942</v>
      </c>
      <c r="D2000" s="18" t="s">
        <v>67</v>
      </c>
      <c r="E2000" s="18" t="s">
        <v>59</v>
      </c>
      <c r="F2000" s="21">
        <v>96</v>
      </c>
    </row>
    <row r="2001" spans="2:6" x14ac:dyDescent="0.25">
      <c r="B2001" s="18" t="s">
        <v>11</v>
      </c>
      <c r="C2001" s="19">
        <f>40885+(3*365)</f>
        <v>41980</v>
      </c>
      <c r="D2001" s="18" t="s">
        <v>60</v>
      </c>
      <c r="E2001" s="18" t="s">
        <v>66</v>
      </c>
      <c r="F2001" s="21">
        <v>1806</v>
      </c>
    </row>
    <row r="2002" spans="2:6" x14ac:dyDescent="0.25">
      <c r="B2002" s="18" t="s">
        <v>11</v>
      </c>
      <c r="C2002" s="19">
        <f>40199+(3*365)</f>
        <v>41294</v>
      </c>
      <c r="D2002" s="18" t="s">
        <v>74</v>
      </c>
      <c r="E2002" s="18" t="s">
        <v>61</v>
      </c>
      <c r="F2002" s="21">
        <v>912</v>
      </c>
    </row>
    <row r="2003" spans="2:6" x14ac:dyDescent="0.25">
      <c r="B2003" s="18" t="s">
        <v>18</v>
      </c>
      <c r="C2003" s="19">
        <f>40395+(3*365)</f>
        <v>41490</v>
      </c>
      <c r="D2003" s="18" t="s">
        <v>71</v>
      </c>
      <c r="E2003" s="18" t="s">
        <v>66</v>
      </c>
      <c r="F2003" s="21">
        <v>360</v>
      </c>
    </row>
    <row r="2004" spans="2:6" x14ac:dyDescent="0.25">
      <c r="B2004" s="18" t="s">
        <v>21</v>
      </c>
      <c r="C2004" s="19">
        <f>41176+(3*365)</f>
        <v>42271</v>
      </c>
      <c r="D2004" s="18" t="s">
        <v>58</v>
      </c>
      <c r="E2004" s="18" t="s">
        <v>63</v>
      </c>
      <c r="F2004" s="21">
        <v>848</v>
      </c>
    </row>
    <row r="2005" spans="2:6" x14ac:dyDescent="0.25">
      <c r="B2005" s="18" t="s">
        <v>10</v>
      </c>
      <c r="C2005" s="19">
        <f>39875+(3*365)</f>
        <v>40970</v>
      </c>
      <c r="D2005" s="18" t="s">
        <v>67</v>
      </c>
      <c r="E2005" s="18" t="s">
        <v>72</v>
      </c>
      <c r="F2005" s="21">
        <v>948</v>
      </c>
    </row>
    <row r="2006" spans="2:6" x14ac:dyDescent="0.25">
      <c r="B2006" s="18" t="s">
        <v>21</v>
      </c>
      <c r="C2006" s="19">
        <f>40012+(3*365)</f>
        <v>41107</v>
      </c>
      <c r="D2006" s="18" t="s">
        <v>58</v>
      </c>
      <c r="E2006" s="18" t="s">
        <v>64</v>
      </c>
      <c r="F2006" s="21">
        <v>5544</v>
      </c>
    </row>
    <row r="2007" spans="2:6" x14ac:dyDescent="0.25">
      <c r="B2007" s="18" t="s">
        <v>10</v>
      </c>
      <c r="C2007" s="19">
        <f>40041+(3*365)</f>
        <v>41136</v>
      </c>
      <c r="D2007" s="18" t="s">
        <v>65</v>
      </c>
      <c r="E2007" s="18" t="s">
        <v>75</v>
      </c>
      <c r="F2007" s="21">
        <v>160</v>
      </c>
    </row>
    <row r="2008" spans="2:6" x14ac:dyDescent="0.25">
      <c r="B2008" s="18" t="s">
        <v>31</v>
      </c>
      <c r="C2008" s="19">
        <f>39883+(3*365)</f>
        <v>40978</v>
      </c>
      <c r="D2008" s="18" t="s">
        <v>76</v>
      </c>
      <c r="E2008" s="18" t="s">
        <v>75</v>
      </c>
      <c r="F2008" s="21">
        <v>459</v>
      </c>
    </row>
    <row r="2009" spans="2:6" x14ac:dyDescent="0.25">
      <c r="B2009" s="18" t="s">
        <v>18</v>
      </c>
      <c r="C2009" s="19">
        <f>41101+(3*365)</f>
        <v>42196</v>
      </c>
      <c r="D2009" s="18" t="s">
        <v>71</v>
      </c>
      <c r="E2009" s="18" t="s">
        <v>64</v>
      </c>
      <c r="F2009" s="21">
        <v>4671</v>
      </c>
    </row>
    <row r="2010" spans="2:6" x14ac:dyDescent="0.25">
      <c r="B2010" s="18" t="s">
        <v>25</v>
      </c>
      <c r="C2010" s="19">
        <f>40901+(3*365)</f>
        <v>41996</v>
      </c>
      <c r="D2010" s="18" t="s">
        <v>79</v>
      </c>
      <c r="E2010" s="18" t="s">
        <v>75</v>
      </c>
      <c r="F2010" s="21">
        <v>176</v>
      </c>
    </row>
    <row r="2011" spans="2:6" x14ac:dyDescent="0.25">
      <c r="B2011" s="18" t="s">
        <v>25</v>
      </c>
      <c r="C2011" s="19">
        <f>39868+(3*365)</f>
        <v>40963</v>
      </c>
      <c r="D2011" s="18" t="s">
        <v>79</v>
      </c>
      <c r="E2011" s="18" t="s">
        <v>59</v>
      </c>
      <c r="F2011" s="21">
        <v>352</v>
      </c>
    </row>
    <row r="2012" spans="2:6" x14ac:dyDescent="0.25">
      <c r="B2012" s="18" t="s">
        <v>31</v>
      </c>
      <c r="C2012" s="19">
        <f>40000+(3*365)</f>
        <v>41095</v>
      </c>
      <c r="D2012" s="18" t="s">
        <v>76</v>
      </c>
      <c r="E2012" s="18" t="s">
        <v>63</v>
      </c>
      <c r="F2012" s="21">
        <v>840</v>
      </c>
    </row>
    <row r="2013" spans="2:6" x14ac:dyDescent="0.25">
      <c r="B2013" s="18" t="s">
        <v>11</v>
      </c>
      <c r="C2013" s="19">
        <f>40776+(3*365)</f>
        <v>41871</v>
      </c>
      <c r="D2013" s="18" t="s">
        <v>60</v>
      </c>
      <c r="E2013" s="18" t="s">
        <v>63</v>
      </c>
      <c r="F2013" s="21">
        <v>396</v>
      </c>
    </row>
    <row r="2014" spans="2:6" x14ac:dyDescent="0.25">
      <c r="B2014" s="18" t="s">
        <v>18</v>
      </c>
      <c r="C2014" s="19">
        <f>40148+(3*365)</f>
        <v>41243</v>
      </c>
      <c r="D2014" s="18" t="s">
        <v>68</v>
      </c>
      <c r="E2014" s="18" t="s">
        <v>75</v>
      </c>
      <c r="F2014" s="21">
        <v>152</v>
      </c>
    </row>
    <row r="2015" spans="2:6" x14ac:dyDescent="0.25">
      <c r="B2015" s="18" t="s">
        <v>31</v>
      </c>
      <c r="C2015" s="19">
        <f>39841+(3*365)</f>
        <v>40936</v>
      </c>
      <c r="D2015" s="18" t="s">
        <v>70</v>
      </c>
      <c r="E2015" s="18" t="s">
        <v>61</v>
      </c>
      <c r="F2015" s="21">
        <v>702</v>
      </c>
    </row>
    <row r="2016" spans="2:6" x14ac:dyDescent="0.25">
      <c r="B2016" s="18" t="s">
        <v>8</v>
      </c>
      <c r="C2016" s="19">
        <f>40800+(3*365)</f>
        <v>41895</v>
      </c>
      <c r="D2016" s="18" t="s">
        <v>81</v>
      </c>
      <c r="E2016" s="18" t="s">
        <v>64</v>
      </c>
      <c r="F2016" s="21">
        <v>5984</v>
      </c>
    </row>
    <row r="2017" spans="2:6" x14ac:dyDescent="0.25">
      <c r="B2017" s="18" t="s">
        <v>18</v>
      </c>
      <c r="C2017" s="19">
        <f>40739+(3*365)</f>
        <v>41834</v>
      </c>
      <c r="D2017" s="18" t="s">
        <v>68</v>
      </c>
      <c r="E2017" s="18" t="s">
        <v>64</v>
      </c>
      <c r="F2017" s="21">
        <v>8240</v>
      </c>
    </row>
    <row r="2018" spans="2:6" x14ac:dyDescent="0.25">
      <c r="B2018" s="18" t="s">
        <v>8</v>
      </c>
      <c r="C2018" s="19">
        <f>40620+(3*365)</f>
        <v>41715</v>
      </c>
      <c r="D2018" s="18" t="s">
        <v>77</v>
      </c>
      <c r="E2018" s="18" t="s">
        <v>61</v>
      </c>
      <c r="F2018" s="21">
        <v>384</v>
      </c>
    </row>
    <row r="2019" spans="2:6" x14ac:dyDescent="0.25">
      <c r="B2019" s="18" t="s">
        <v>25</v>
      </c>
      <c r="C2019" s="19">
        <f>40357+(3*365)</f>
        <v>41452</v>
      </c>
      <c r="D2019" s="18" t="s">
        <v>79</v>
      </c>
      <c r="E2019" s="18" t="s">
        <v>69</v>
      </c>
      <c r="F2019" s="21">
        <v>990</v>
      </c>
    </row>
    <row r="2020" spans="2:6" x14ac:dyDescent="0.25">
      <c r="B2020" s="18" t="s">
        <v>31</v>
      </c>
      <c r="C2020" s="19">
        <f>40000+(3*365)</f>
        <v>41095</v>
      </c>
      <c r="D2020" s="18" t="s">
        <v>70</v>
      </c>
      <c r="E2020" s="18" t="s">
        <v>64</v>
      </c>
      <c r="F2020" s="21">
        <v>6432</v>
      </c>
    </row>
    <row r="2021" spans="2:6" x14ac:dyDescent="0.25">
      <c r="B2021" s="18" t="s">
        <v>10</v>
      </c>
      <c r="C2021" s="19">
        <f>40408+(3*365)</f>
        <v>41503</v>
      </c>
      <c r="D2021" s="18" t="s">
        <v>67</v>
      </c>
      <c r="E2021" s="18" t="s">
        <v>64</v>
      </c>
      <c r="F2021" s="21">
        <v>5265</v>
      </c>
    </row>
    <row r="2022" spans="2:6" x14ac:dyDescent="0.25">
      <c r="B2022" s="18" t="s">
        <v>10</v>
      </c>
      <c r="C2022" s="19">
        <f>40996+(3*365)</f>
        <v>42091</v>
      </c>
      <c r="D2022" s="18" t="s">
        <v>65</v>
      </c>
      <c r="E2022" s="18" t="s">
        <v>72</v>
      </c>
      <c r="F2022" s="21">
        <v>756</v>
      </c>
    </row>
    <row r="2023" spans="2:6" x14ac:dyDescent="0.25">
      <c r="B2023" s="18" t="s">
        <v>9</v>
      </c>
      <c r="C2023" s="19">
        <f>40917+(3*365)</f>
        <v>42012</v>
      </c>
      <c r="D2023" s="18" t="s">
        <v>62</v>
      </c>
      <c r="E2023" s="18" t="s">
        <v>75</v>
      </c>
      <c r="F2023" s="21">
        <v>266</v>
      </c>
    </row>
    <row r="2024" spans="2:6" x14ac:dyDescent="0.25">
      <c r="B2024" s="18" t="s">
        <v>21</v>
      </c>
      <c r="C2024" s="19">
        <f>40950+(3*365)</f>
        <v>42045</v>
      </c>
      <c r="D2024" s="18" t="s">
        <v>58</v>
      </c>
      <c r="E2024" s="18" t="s">
        <v>75</v>
      </c>
      <c r="F2024" s="21">
        <v>780</v>
      </c>
    </row>
    <row r="2025" spans="2:6" x14ac:dyDescent="0.25">
      <c r="B2025" s="18" t="s">
        <v>8</v>
      </c>
      <c r="C2025" s="19">
        <f>40060+(3*365)</f>
        <v>41155</v>
      </c>
      <c r="D2025" s="18" t="s">
        <v>77</v>
      </c>
      <c r="E2025" s="18" t="s">
        <v>69</v>
      </c>
      <c r="F2025" s="21">
        <v>378</v>
      </c>
    </row>
    <row r="2026" spans="2:6" x14ac:dyDescent="0.25">
      <c r="B2026" s="18" t="s">
        <v>9</v>
      </c>
      <c r="C2026" s="19">
        <f>40545+(3*365)</f>
        <v>41640</v>
      </c>
      <c r="D2026" s="18" t="s">
        <v>62</v>
      </c>
      <c r="E2026" s="18" t="s">
        <v>63</v>
      </c>
      <c r="F2026" s="21">
        <v>1377</v>
      </c>
    </row>
    <row r="2027" spans="2:6" x14ac:dyDescent="0.25">
      <c r="B2027" s="18" t="s">
        <v>9</v>
      </c>
      <c r="C2027" s="19">
        <f>41255+(3*365)</f>
        <v>42350</v>
      </c>
      <c r="D2027" s="18" t="s">
        <v>80</v>
      </c>
      <c r="E2027" s="18" t="s">
        <v>59</v>
      </c>
      <c r="F2027" s="21">
        <v>12</v>
      </c>
    </row>
    <row r="2028" spans="2:6" x14ac:dyDescent="0.25">
      <c r="B2028" s="18" t="s">
        <v>9</v>
      </c>
      <c r="C2028" s="19">
        <f>40875+(3*365)</f>
        <v>41970</v>
      </c>
      <c r="D2028" s="18" t="s">
        <v>62</v>
      </c>
      <c r="E2028" s="18" t="s">
        <v>64</v>
      </c>
      <c r="F2028" s="21">
        <v>9198</v>
      </c>
    </row>
    <row r="2029" spans="2:6" x14ac:dyDescent="0.25">
      <c r="B2029" s="18" t="s">
        <v>31</v>
      </c>
      <c r="C2029" s="19">
        <f>40965+(3*365)</f>
        <v>42060</v>
      </c>
      <c r="D2029" s="18" t="s">
        <v>70</v>
      </c>
      <c r="E2029" s="18" t="s">
        <v>61</v>
      </c>
      <c r="F2029" s="21">
        <v>1044</v>
      </c>
    </row>
    <row r="2030" spans="2:6" x14ac:dyDescent="0.25">
      <c r="B2030" s="18" t="s">
        <v>25</v>
      </c>
      <c r="C2030" s="19">
        <f>39836+(3*365)</f>
        <v>40931</v>
      </c>
      <c r="D2030" s="18" t="s">
        <v>78</v>
      </c>
      <c r="E2030" s="18" t="s">
        <v>63</v>
      </c>
      <c r="F2030" s="21">
        <v>504</v>
      </c>
    </row>
    <row r="2031" spans="2:6" x14ac:dyDescent="0.25">
      <c r="B2031" s="18" t="s">
        <v>21</v>
      </c>
      <c r="C2031" s="19">
        <f>40874+(3*365)</f>
        <v>41969</v>
      </c>
      <c r="D2031" s="18" t="s">
        <v>73</v>
      </c>
      <c r="E2031" s="18" t="s">
        <v>63</v>
      </c>
      <c r="F2031" s="21">
        <v>882</v>
      </c>
    </row>
    <row r="2032" spans="2:6" x14ac:dyDescent="0.25">
      <c r="B2032" s="18" t="s">
        <v>11</v>
      </c>
      <c r="C2032" s="19">
        <f>39897+(3*365)</f>
        <v>40992</v>
      </c>
      <c r="D2032" s="18" t="s">
        <v>74</v>
      </c>
      <c r="E2032" s="18" t="s">
        <v>61</v>
      </c>
      <c r="F2032" s="21">
        <v>915</v>
      </c>
    </row>
    <row r="2033" spans="2:6" x14ac:dyDescent="0.25">
      <c r="B2033" s="18" t="s">
        <v>18</v>
      </c>
      <c r="C2033" s="19">
        <f>40394+(3*365)</f>
        <v>41489</v>
      </c>
      <c r="D2033" s="18" t="s">
        <v>71</v>
      </c>
      <c r="E2033" s="18" t="s">
        <v>75</v>
      </c>
      <c r="F2033" s="21">
        <v>792</v>
      </c>
    </row>
    <row r="2034" spans="2:6" x14ac:dyDescent="0.25">
      <c r="B2034" s="18" t="s">
        <v>11</v>
      </c>
      <c r="C2034" s="19">
        <f>40899+(3*365)</f>
        <v>41994</v>
      </c>
      <c r="D2034" s="18" t="s">
        <v>60</v>
      </c>
      <c r="E2034" s="18" t="s">
        <v>75</v>
      </c>
      <c r="F2034" s="21">
        <v>408</v>
      </c>
    </row>
    <row r="2035" spans="2:6" x14ac:dyDescent="0.25">
      <c r="B2035" s="18" t="s">
        <v>21</v>
      </c>
      <c r="C2035" s="19">
        <f>40664+(3*365)</f>
        <v>41759</v>
      </c>
      <c r="D2035" s="18" t="s">
        <v>73</v>
      </c>
      <c r="E2035" s="18" t="s">
        <v>69</v>
      </c>
      <c r="F2035" s="21">
        <v>1554</v>
      </c>
    </row>
    <row r="2036" spans="2:6" x14ac:dyDescent="0.25">
      <c r="B2036" s="18" t="s">
        <v>18</v>
      </c>
      <c r="C2036" s="19">
        <f>40525+(3*365)</f>
        <v>41620</v>
      </c>
      <c r="D2036" s="18" t="s">
        <v>71</v>
      </c>
      <c r="E2036" s="18" t="s">
        <v>66</v>
      </c>
      <c r="F2036" s="21">
        <v>432</v>
      </c>
    </row>
    <row r="2037" spans="2:6" x14ac:dyDescent="0.25">
      <c r="B2037" s="18" t="s">
        <v>10</v>
      </c>
      <c r="C2037" s="19">
        <f>40813+(3*365)</f>
        <v>41908</v>
      </c>
      <c r="D2037" s="18" t="s">
        <v>65</v>
      </c>
      <c r="E2037" s="18" t="s">
        <v>69</v>
      </c>
      <c r="F2037" s="21">
        <v>516</v>
      </c>
    </row>
    <row r="2038" spans="2:6" x14ac:dyDescent="0.25">
      <c r="B2038" s="18" t="s">
        <v>10</v>
      </c>
      <c r="C2038" s="19">
        <f>41047+(3*365)</f>
        <v>42142</v>
      </c>
      <c r="D2038" s="18" t="s">
        <v>67</v>
      </c>
      <c r="E2038" s="18" t="s">
        <v>63</v>
      </c>
      <c r="F2038" s="21">
        <v>792</v>
      </c>
    </row>
    <row r="2039" spans="2:6" x14ac:dyDescent="0.25">
      <c r="B2039" s="18" t="s">
        <v>18</v>
      </c>
      <c r="C2039" s="19">
        <f>40099+(3*365)</f>
        <v>41194</v>
      </c>
      <c r="D2039" s="18" t="s">
        <v>71</v>
      </c>
      <c r="E2039" s="18" t="s">
        <v>59</v>
      </c>
      <c r="F2039" s="21">
        <v>684</v>
      </c>
    </row>
    <row r="2040" spans="2:6" x14ac:dyDescent="0.25">
      <c r="B2040" s="18" t="s">
        <v>10</v>
      </c>
      <c r="C2040" s="19">
        <f>40510+(3*365)</f>
        <v>41605</v>
      </c>
      <c r="D2040" s="18" t="s">
        <v>65</v>
      </c>
      <c r="E2040" s="18" t="s">
        <v>59</v>
      </c>
      <c r="F2040" s="21">
        <v>138</v>
      </c>
    </row>
    <row r="2041" spans="2:6" x14ac:dyDescent="0.25">
      <c r="B2041" s="18" t="s">
        <v>10</v>
      </c>
      <c r="C2041" s="19">
        <f>39878+(3*365)</f>
        <v>40973</v>
      </c>
      <c r="D2041" s="18" t="s">
        <v>67</v>
      </c>
      <c r="E2041" s="18" t="s">
        <v>61</v>
      </c>
      <c r="F2041" s="21">
        <v>2160</v>
      </c>
    </row>
    <row r="2042" spans="2:6" x14ac:dyDescent="0.25">
      <c r="B2042" s="18" t="s">
        <v>9</v>
      </c>
      <c r="C2042" s="19">
        <f>40149+(3*365)</f>
        <v>41244</v>
      </c>
      <c r="D2042" s="18" t="s">
        <v>62</v>
      </c>
      <c r="E2042" s="18" t="s">
        <v>69</v>
      </c>
      <c r="F2042" s="21">
        <v>600</v>
      </c>
    </row>
    <row r="2043" spans="2:6" x14ac:dyDescent="0.25">
      <c r="B2043" s="18" t="s">
        <v>21</v>
      </c>
      <c r="C2043" s="19">
        <f>40929+(3*365)</f>
        <v>42024</v>
      </c>
      <c r="D2043" s="18" t="s">
        <v>73</v>
      </c>
      <c r="E2043" s="18" t="s">
        <v>69</v>
      </c>
      <c r="F2043" s="21">
        <v>4224</v>
      </c>
    </row>
    <row r="2044" spans="2:6" x14ac:dyDescent="0.25">
      <c r="B2044" s="18" t="s">
        <v>10</v>
      </c>
      <c r="C2044" s="19">
        <f>41053+(3*365)</f>
        <v>42148</v>
      </c>
      <c r="D2044" s="18" t="s">
        <v>67</v>
      </c>
      <c r="E2044" s="18" t="s">
        <v>66</v>
      </c>
      <c r="F2044" s="21">
        <v>639</v>
      </c>
    </row>
    <row r="2045" spans="2:6" x14ac:dyDescent="0.25">
      <c r="B2045" s="18" t="s">
        <v>10</v>
      </c>
      <c r="C2045" s="19">
        <f>39973+(3*365)</f>
        <v>41068</v>
      </c>
      <c r="D2045" s="18" t="s">
        <v>65</v>
      </c>
      <c r="E2045" s="18" t="s">
        <v>66</v>
      </c>
      <c r="F2045" s="21">
        <v>592</v>
      </c>
    </row>
    <row r="2046" spans="2:6" x14ac:dyDescent="0.25">
      <c r="B2046" s="18" t="s">
        <v>11</v>
      </c>
      <c r="C2046" s="19">
        <f>39889+(3*365)</f>
        <v>40984</v>
      </c>
      <c r="D2046" s="18" t="s">
        <v>60</v>
      </c>
      <c r="E2046" s="18" t="s">
        <v>75</v>
      </c>
      <c r="F2046" s="21">
        <v>87</v>
      </c>
    </row>
    <row r="2047" spans="2:6" x14ac:dyDescent="0.25">
      <c r="B2047" s="18" t="s">
        <v>8</v>
      </c>
      <c r="C2047" s="19">
        <f>41088+(3*365)</f>
        <v>42183</v>
      </c>
      <c r="D2047" s="18" t="s">
        <v>81</v>
      </c>
      <c r="E2047" s="18" t="s">
        <v>66</v>
      </c>
      <c r="F2047" s="21">
        <v>1780</v>
      </c>
    </row>
    <row r="2048" spans="2:6" x14ac:dyDescent="0.25">
      <c r="B2048" s="18" t="s">
        <v>21</v>
      </c>
      <c r="C2048" s="19">
        <f>40234+(3*365)</f>
        <v>41329</v>
      </c>
      <c r="D2048" s="18" t="s">
        <v>73</v>
      </c>
      <c r="E2048" s="18" t="s">
        <v>64</v>
      </c>
      <c r="F2048" s="21">
        <v>3252</v>
      </c>
    </row>
    <row r="2049" spans="2:6" x14ac:dyDescent="0.25">
      <c r="B2049" s="18" t="s">
        <v>9</v>
      </c>
      <c r="C2049" s="19">
        <f>40716+(3*365)</f>
        <v>41811</v>
      </c>
      <c r="D2049" s="18" t="s">
        <v>62</v>
      </c>
      <c r="E2049" s="18" t="s">
        <v>72</v>
      </c>
      <c r="F2049" s="21">
        <v>4050</v>
      </c>
    </row>
    <row r="2050" spans="2:6" x14ac:dyDescent="0.25">
      <c r="B2050" s="18" t="s">
        <v>18</v>
      </c>
      <c r="C2050" s="19">
        <f>40718+(3*365)</f>
        <v>41813</v>
      </c>
      <c r="D2050" s="18" t="s">
        <v>71</v>
      </c>
      <c r="E2050" s="18" t="s">
        <v>61</v>
      </c>
      <c r="F2050" s="21">
        <v>104</v>
      </c>
    </row>
    <row r="2051" spans="2:6" x14ac:dyDescent="0.25">
      <c r="B2051" s="18" t="s">
        <v>11</v>
      </c>
      <c r="C2051" s="19">
        <f>40670+(3*365)</f>
        <v>41765</v>
      </c>
      <c r="D2051" s="18" t="s">
        <v>60</v>
      </c>
      <c r="E2051" s="18" t="s">
        <v>64</v>
      </c>
      <c r="F2051" s="21">
        <v>3438</v>
      </c>
    </row>
    <row r="2052" spans="2:6" x14ac:dyDescent="0.25">
      <c r="B2052" s="18" t="s">
        <v>11</v>
      </c>
      <c r="C2052" s="19">
        <f>40004+(3*365)</f>
        <v>41099</v>
      </c>
      <c r="D2052" s="18" t="s">
        <v>60</v>
      </c>
      <c r="E2052" s="18" t="s">
        <v>69</v>
      </c>
      <c r="F2052" s="21">
        <v>2376</v>
      </c>
    </row>
    <row r="2053" spans="2:6" x14ac:dyDescent="0.25">
      <c r="B2053" s="18" t="s">
        <v>18</v>
      </c>
      <c r="C2053" s="19">
        <f>40281+(3*365)</f>
        <v>41376</v>
      </c>
      <c r="D2053" s="18" t="s">
        <v>68</v>
      </c>
      <c r="E2053" s="18" t="s">
        <v>69</v>
      </c>
      <c r="F2053" s="21">
        <v>513</v>
      </c>
    </row>
    <row r="2054" spans="2:6" x14ac:dyDescent="0.25">
      <c r="B2054" s="18" t="s">
        <v>25</v>
      </c>
      <c r="C2054" s="19">
        <f>40148+(3*365)</f>
        <v>41243</v>
      </c>
      <c r="D2054" s="18" t="s">
        <v>78</v>
      </c>
      <c r="E2054" s="18" t="s">
        <v>75</v>
      </c>
      <c r="F2054" s="21">
        <v>168</v>
      </c>
    </row>
    <row r="2055" spans="2:6" x14ac:dyDescent="0.25">
      <c r="B2055" s="18" t="s">
        <v>21</v>
      </c>
      <c r="C2055" s="19">
        <f>40221+(3*365)</f>
        <v>41316</v>
      </c>
      <c r="D2055" s="18" t="s">
        <v>58</v>
      </c>
      <c r="E2055" s="18" t="s">
        <v>69</v>
      </c>
      <c r="F2055" s="21">
        <v>1416</v>
      </c>
    </row>
    <row r="2056" spans="2:6" x14ac:dyDescent="0.25">
      <c r="B2056" s="18" t="s">
        <v>8</v>
      </c>
      <c r="C2056" s="19">
        <f>40902+(3*365)</f>
        <v>41997</v>
      </c>
      <c r="D2056" s="18" t="s">
        <v>77</v>
      </c>
      <c r="E2056" s="18" t="s">
        <v>69</v>
      </c>
      <c r="F2056" s="21">
        <v>316</v>
      </c>
    </row>
    <row r="2057" spans="2:6" x14ac:dyDescent="0.25">
      <c r="B2057" s="18" t="s">
        <v>11</v>
      </c>
      <c r="C2057" s="19">
        <f>40709+(3*365)</f>
        <v>41804</v>
      </c>
      <c r="D2057" s="18" t="s">
        <v>74</v>
      </c>
      <c r="E2057" s="18" t="s">
        <v>66</v>
      </c>
      <c r="F2057" s="21">
        <v>132</v>
      </c>
    </row>
    <row r="2058" spans="2:6" x14ac:dyDescent="0.25">
      <c r="B2058" s="18" t="s">
        <v>21</v>
      </c>
      <c r="C2058" s="19">
        <f>40976+(3*365)</f>
        <v>42071</v>
      </c>
      <c r="D2058" s="18" t="s">
        <v>73</v>
      </c>
      <c r="E2058" s="18" t="s">
        <v>75</v>
      </c>
      <c r="F2058" s="21">
        <v>704</v>
      </c>
    </row>
    <row r="2059" spans="2:6" x14ac:dyDescent="0.25">
      <c r="B2059" s="18" t="s">
        <v>10</v>
      </c>
      <c r="C2059" s="19">
        <f>40566+(3*365)</f>
        <v>41661</v>
      </c>
      <c r="D2059" s="18" t="s">
        <v>65</v>
      </c>
      <c r="E2059" s="18" t="s">
        <v>69</v>
      </c>
      <c r="F2059" s="21">
        <v>224</v>
      </c>
    </row>
    <row r="2060" spans="2:6" x14ac:dyDescent="0.25">
      <c r="B2060" s="18" t="s">
        <v>10</v>
      </c>
      <c r="C2060" s="19">
        <f>40646+(3*365)</f>
        <v>41741</v>
      </c>
      <c r="D2060" s="18" t="s">
        <v>67</v>
      </c>
      <c r="E2060" s="18" t="s">
        <v>59</v>
      </c>
      <c r="F2060" s="21">
        <v>34</v>
      </c>
    </row>
    <row r="2061" spans="2:6" x14ac:dyDescent="0.25">
      <c r="B2061" s="18" t="s">
        <v>8</v>
      </c>
      <c r="C2061" s="19">
        <f>41245+(3*365)</f>
        <v>42340</v>
      </c>
      <c r="D2061" s="18" t="s">
        <v>81</v>
      </c>
      <c r="E2061" s="18" t="s">
        <v>66</v>
      </c>
      <c r="F2061" s="21">
        <v>140</v>
      </c>
    </row>
    <row r="2062" spans="2:6" x14ac:dyDescent="0.25">
      <c r="B2062" s="18" t="s">
        <v>9</v>
      </c>
      <c r="C2062" s="19">
        <f>40699+(3*365)</f>
        <v>41794</v>
      </c>
      <c r="D2062" s="18" t="s">
        <v>80</v>
      </c>
      <c r="E2062" s="18" t="s">
        <v>64</v>
      </c>
      <c r="F2062" s="21">
        <v>6426</v>
      </c>
    </row>
    <row r="2063" spans="2:6" x14ac:dyDescent="0.25">
      <c r="B2063" s="18" t="s">
        <v>11</v>
      </c>
      <c r="C2063" s="19">
        <f>41264+(3*365)</f>
        <v>42359</v>
      </c>
      <c r="D2063" s="18" t="s">
        <v>60</v>
      </c>
      <c r="E2063" s="18" t="s">
        <v>69</v>
      </c>
      <c r="F2063" s="21">
        <v>1608</v>
      </c>
    </row>
    <row r="2064" spans="2:6" x14ac:dyDescent="0.25">
      <c r="B2064" s="18" t="s">
        <v>10</v>
      </c>
      <c r="C2064" s="19">
        <f>41258+(3*365)</f>
        <v>42353</v>
      </c>
      <c r="D2064" s="18" t="s">
        <v>67</v>
      </c>
      <c r="E2064" s="18" t="s">
        <v>66</v>
      </c>
      <c r="F2064" s="21">
        <v>1080</v>
      </c>
    </row>
    <row r="2065" spans="2:6" x14ac:dyDescent="0.25">
      <c r="B2065" s="18" t="s">
        <v>25</v>
      </c>
      <c r="C2065" s="19">
        <f>40161+(3*365)</f>
        <v>41256</v>
      </c>
      <c r="D2065" s="18" t="s">
        <v>78</v>
      </c>
      <c r="E2065" s="18" t="s">
        <v>66</v>
      </c>
      <c r="F2065" s="21">
        <v>166</v>
      </c>
    </row>
    <row r="2066" spans="2:6" x14ac:dyDescent="0.25">
      <c r="B2066" s="18" t="s">
        <v>8</v>
      </c>
      <c r="C2066" s="19">
        <f>40001+(3*365)</f>
        <v>41096</v>
      </c>
      <c r="D2066" s="18" t="s">
        <v>77</v>
      </c>
      <c r="E2066" s="18" t="s">
        <v>63</v>
      </c>
      <c r="F2066" s="21">
        <v>1107</v>
      </c>
    </row>
    <row r="2067" spans="2:6" x14ac:dyDescent="0.25">
      <c r="B2067" s="18" t="s">
        <v>10</v>
      </c>
      <c r="C2067" s="19">
        <f>40895+(3*365)</f>
        <v>41990</v>
      </c>
      <c r="D2067" s="18" t="s">
        <v>65</v>
      </c>
      <c r="E2067" s="18" t="s">
        <v>72</v>
      </c>
      <c r="F2067" s="21">
        <v>306</v>
      </c>
    </row>
    <row r="2068" spans="2:6" x14ac:dyDescent="0.25">
      <c r="B2068" s="18" t="s">
        <v>25</v>
      </c>
      <c r="C2068" s="19">
        <f>40816+(3*365)</f>
        <v>41911</v>
      </c>
      <c r="D2068" s="18" t="s">
        <v>79</v>
      </c>
      <c r="E2068" s="18" t="s">
        <v>61</v>
      </c>
      <c r="F2068" s="21">
        <v>116</v>
      </c>
    </row>
    <row r="2069" spans="2:6" x14ac:dyDescent="0.25">
      <c r="B2069" s="18" t="s">
        <v>9</v>
      </c>
      <c r="C2069" s="19">
        <f>39994+(3*365)</f>
        <v>41089</v>
      </c>
      <c r="D2069" s="18" t="s">
        <v>62</v>
      </c>
      <c r="E2069" s="18" t="s">
        <v>61</v>
      </c>
      <c r="F2069" s="21">
        <v>948</v>
      </c>
    </row>
    <row r="2070" spans="2:6" x14ac:dyDescent="0.25">
      <c r="B2070" s="18" t="s">
        <v>8</v>
      </c>
      <c r="C2070" s="19">
        <f>40175+(3*365)</f>
        <v>41270</v>
      </c>
      <c r="D2070" s="18" t="s">
        <v>77</v>
      </c>
      <c r="E2070" s="18" t="s">
        <v>69</v>
      </c>
      <c r="F2070" s="21">
        <v>4509</v>
      </c>
    </row>
    <row r="2071" spans="2:6" x14ac:dyDescent="0.25">
      <c r="B2071" s="18" t="s">
        <v>18</v>
      </c>
      <c r="C2071" s="19">
        <f>40343+(3*365)</f>
        <v>41438</v>
      </c>
      <c r="D2071" s="18" t="s">
        <v>68</v>
      </c>
      <c r="E2071" s="18" t="s">
        <v>69</v>
      </c>
      <c r="F2071" s="21">
        <v>2646</v>
      </c>
    </row>
    <row r="2072" spans="2:6" x14ac:dyDescent="0.25">
      <c r="B2072" s="18" t="s">
        <v>9</v>
      </c>
      <c r="C2072" s="19">
        <f>39973+(3*365)</f>
        <v>41068</v>
      </c>
      <c r="D2072" s="18" t="s">
        <v>62</v>
      </c>
      <c r="E2072" s="18" t="s">
        <v>69</v>
      </c>
      <c r="F2072" s="21">
        <v>276</v>
      </c>
    </row>
    <row r="2073" spans="2:6" x14ac:dyDescent="0.25">
      <c r="B2073" s="18" t="s">
        <v>31</v>
      </c>
      <c r="C2073" s="19">
        <f>40452+(3*365)</f>
        <v>41547</v>
      </c>
      <c r="D2073" s="18" t="s">
        <v>76</v>
      </c>
      <c r="E2073" s="18" t="s">
        <v>66</v>
      </c>
      <c r="F2073" s="21">
        <v>144</v>
      </c>
    </row>
    <row r="2074" spans="2:6" x14ac:dyDescent="0.25">
      <c r="B2074" s="18" t="s">
        <v>21</v>
      </c>
      <c r="C2074" s="19">
        <f>40858+(3*365)</f>
        <v>41953</v>
      </c>
      <c r="D2074" s="18" t="s">
        <v>73</v>
      </c>
      <c r="E2074" s="18" t="s">
        <v>59</v>
      </c>
      <c r="F2074" s="21">
        <v>300</v>
      </c>
    </row>
    <row r="2075" spans="2:6" x14ac:dyDescent="0.25">
      <c r="B2075" s="18" t="s">
        <v>25</v>
      </c>
      <c r="C2075" s="19">
        <f>40547+(3*365)</f>
        <v>41642</v>
      </c>
      <c r="D2075" s="18" t="s">
        <v>78</v>
      </c>
      <c r="E2075" s="18" t="s">
        <v>72</v>
      </c>
      <c r="F2075" s="21">
        <v>3528</v>
      </c>
    </row>
    <row r="2076" spans="2:6" x14ac:dyDescent="0.25">
      <c r="B2076" s="18" t="s">
        <v>21</v>
      </c>
      <c r="C2076" s="19">
        <f>39901+(3*365)</f>
        <v>40996</v>
      </c>
      <c r="D2076" s="18" t="s">
        <v>58</v>
      </c>
      <c r="E2076" s="18" t="s">
        <v>69</v>
      </c>
      <c r="F2076" s="21">
        <v>136</v>
      </c>
    </row>
    <row r="2077" spans="2:6" x14ac:dyDescent="0.25">
      <c r="B2077" s="18" t="s">
        <v>11</v>
      </c>
      <c r="C2077" s="19">
        <f>41138+(3*365)</f>
        <v>42233</v>
      </c>
      <c r="D2077" s="18" t="s">
        <v>74</v>
      </c>
      <c r="E2077" s="18" t="s">
        <v>63</v>
      </c>
      <c r="F2077" s="21">
        <v>540</v>
      </c>
    </row>
    <row r="2078" spans="2:6" x14ac:dyDescent="0.25">
      <c r="B2078" s="18" t="s">
        <v>18</v>
      </c>
      <c r="C2078" s="19">
        <f>41136+(3*365)</f>
        <v>42231</v>
      </c>
      <c r="D2078" s="18" t="s">
        <v>68</v>
      </c>
      <c r="E2078" s="18" t="s">
        <v>75</v>
      </c>
      <c r="F2078" s="21">
        <v>702</v>
      </c>
    </row>
    <row r="2079" spans="2:6" x14ac:dyDescent="0.25">
      <c r="B2079" s="18" t="s">
        <v>31</v>
      </c>
      <c r="C2079" s="19">
        <f>40263+(3*365)</f>
        <v>41358</v>
      </c>
      <c r="D2079" s="18" t="s">
        <v>76</v>
      </c>
      <c r="E2079" s="18" t="s">
        <v>66</v>
      </c>
      <c r="F2079" s="21">
        <v>792</v>
      </c>
    </row>
    <row r="2080" spans="2:6" x14ac:dyDescent="0.25">
      <c r="B2080" s="18" t="s">
        <v>25</v>
      </c>
      <c r="C2080" s="19">
        <f>41146+(3*365)</f>
        <v>42241</v>
      </c>
      <c r="D2080" s="18" t="s">
        <v>79</v>
      </c>
      <c r="E2080" s="18" t="s">
        <v>75</v>
      </c>
      <c r="F2080" s="21">
        <v>416</v>
      </c>
    </row>
    <row r="2081" spans="2:6" x14ac:dyDescent="0.25">
      <c r="B2081" s="18" t="s">
        <v>8</v>
      </c>
      <c r="C2081" s="19">
        <f>41112+(3*365)</f>
        <v>42207</v>
      </c>
      <c r="D2081" s="18" t="s">
        <v>81</v>
      </c>
      <c r="E2081" s="18" t="s">
        <v>69</v>
      </c>
      <c r="F2081" s="21">
        <v>3380</v>
      </c>
    </row>
    <row r="2082" spans="2:6" x14ac:dyDescent="0.25">
      <c r="B2082" s="18" t="s">
        <v>25</v>
      </c>
      <c r="C2082" s="19">
        <f>40339+(3*365)</f>
        <v>41434</v>
      </c>
      <c r="D2082" s="18" t="s">
        <v>78</v>
      </c>
      <c r="E2082" s="18" t="s">
        <v>75</v>
      </c>
      <c r="F2082" s="21">
        <v>99</v>
      </c>
    </row>
    <row r="2083" spans="2:6" x14ac:dyDescent="0.25">
      <c r="B2083" s="18" t="s">
        <v>11</v>
      </c>
      <c r="C2083" s="19">
        <f>40055+(3*365)</f>
        <v>41150</v>
      </c>
      <c r="D2083" s="18" t="s">
        <v>74</v>
      </c>
      <c r="E2083" s="18" t="s">
        <v>72</v>
      </c>
      <c r="F2083" s="21">
        <v>357</v>
      </c>
    </row>
    <row r="2084" spans="2:6" x14ac:dyDescent="0.25">
      <c r="B2084" s="18" t="s">
        <v>9</v>
      </c>
      <c r="C2084" s="19">
        <f>40892+(3*365)</f>
        <v>41987</v>
      </c>
      <c r="D2084" s="18" t="s">
        <v>62</v>
      </c>
      <c r="E2084" s="18" t="s">
        <v>61</v>
      </c>
      <c r="F2084" s="21">
        <v>684</v>
      </c>
    </row>
    <row r="2085" spans="2:6" x14ac:dyDescent="0.25">
      <c r="B2085" s="18" t="s">
        <v>8</v>
      </c>
      <c r="C2085" s="19">
        <f>40164+(3*365)</f>
        <v>41259</v>
      </c>
      <c r="D2085" s="18" t="s">
        <v>77</v>
      </c>
      <c r="E2085" s="18" t="s">
        <v>61</v>
      </c>
      <c r="F2085" s="21">
        <v>210</v>
      </c>
    </row>
    <row r="2086" spans="2:6" x14ac:dyDescent="0.25">
      <c r="B2086" s="18" t="s">
        <v>25</v>
      </c>
      <c r="C2086" s="19">
        <f>41134+(3*365)</f>
        <v>42229</v>
      </c>
      <c r="D2086" s="18" t="s">
        <v>79</v>
      </c>
      <c r="E2086" s="18" t="s">
        <v>61</v>
      </c>
      <c r="F2086" s="21">
        <v>236</v>
      </c>
    </row>
    <row r="2087" spans="2:6" x14ac:dyDescent="0.25">
      <c r="B2087" s="18" t="s">
        <v>9</v>
      </c>
      <c r="C2087" s="19">
        <f>40306+(3*365)</f>
        <v>41401</v>
      </c>
      <c r="D2087" s="18" t="s">
        <v>62</v>
      </c>
      <c r="E2087" s="18" t="s">
        <v>63</v>
      </c>
      <c r="F2087" s="21">
        <v>516</v>
      </c>
    </row>
    <row r="2088" spans="2:6" x14ac:dyDescent="0.25">
      <c r="B2088" s="18" t="s">
        <v>18</v>
      </c>
      <c r="C2088" s="19">
        <f>40023+(3*365)</f>
        <v>41118</v>
      </c>
      <c r="D2088" s="18" t="s">
        <v>71</v>
      </c>
      <c r="E2088" s="18" t="s">
        <v>63</v>
      </c>
      <c r="F2088" s="21">
        <v>528</v>
      </c>
    </row>
    <row r="2089" spans="2:6" x14ac:dyDescent="0.25">
      <c r="B2089" s="18" t="s">
        <v>8</v>
      </c>
      <c r="C2089" s="19">
        <f>39849+(3*365)</f>
        <v>40944</v>
      </c>
      <c r="D2089" s="18" t="s">
        <v>77</v>
      </c>
      <c r="E2089" s="18" t="s">
        <v>75</v>
      </c>
      <c r="F2089" s="21">
        <v>720</v>
      </c>
    </row>
    <row r="2090" spans="2:6" x14ac:dyDescent="0.25">
      <c r="B2090" s="18" t="s">
        <v>10</v>
      </c>
      <c r="C2090" s="19">
        <f>40869+(3*365)</f>
        <v>41964</v>
      </c>
      <c r="D2090" s="18" t="s">
        <v>67</v>
      </c>
      <c r="E2090" s="18" t="s">
        <v>61</v>
      </c>
      <c r="F2090" s="21">
        <v>584</v>
      </c>
    </row>
    <row r="2091" spans="2:6" x14ac:dyDescent="0.25">
      <c r="B2091" s="18" t="s">
        <v>9</v>
      </c>
      <c r="C2091" s="19">
        <f>40038+(3*365)</f>
        <v>41133</v>
      </c>
      <c r="D2091" s="18" t="s">
        <v>62</v>
      </c>
      <c r="E2091" s="18" t="s">
        <v>75</v>
      </c>
      <c r="F2091" s="21">
        <v>22</v>
      </c>
    </row>
    <row r="2092" spans="2:6" x14ac:dyDescent="0.25">
      <c r="B2092" s="18" t="s">
        <v>11</v>
      </c>
      <c r="C2092" s="19">
        <f>40636+(3*365)</f>
        <v>41731</v>
      </c>
      <c r="D2092" s="18" t="s">
        <v>60</v>
      </c>
      <c r="E2092" s="18" t="s">
        <v>59</v>
      </c>
      <c r="F2092" s="21">
        <v>630</v>
      </c>
    </row>
    <row r="2093" spans="2:6" x14ac:dyDescent="0.25">
      <c r="B2093" s="18" t="s">
        <v>21</v>
      </c>
      <c r="C2093" s="19">
        <f>39840+(3*365)</f>
        <v>40935</v>
      </c>
      <c r="D2093" s="18" t="s">
        <v>58</v>
      </c>
      <c r="E2093" s="18" t="s">
        <v>59</v>
      </c>
      <c r="F2093" s="21">
        <v>68</v>
      </c>
    </row>
    <row r="2094" spans="2:6" x14ac:dyDescent="0.25">
      <c r="B2094" s="18" t="s">
        <v>21</v>
      </c>
      <c r="C2094" s="19">
        <f>39996+(3*365)</f>
        <v>41091</v>
      </c>
      <c r="D2094" s="18" t="s">
        <v>58</v>
      </c>
      <c r="E2094" s="18" t="s">
        <v>69</v>
      </c>
      <c r="F2094" s="21">
        <v>756</v>
      </c>
    </row>
    <row r="2095" spans="2:6" x14ac:dyDescent="0.25">
      <c r="B2095" s="18" t="s">
        <v>18</v>
      </c>
      <c r="C2095" s="19">
        <f>41223+(3*365)</f>
        <v>42318</v>
      </c>
      <c r="D2095" s="18" t="s">
        <v>71</v>
      </c>
      <c r="E2095" s="18" t="s">
        <v>72</v>
      </c>
      <c r="F2095" s="21">
        <v>5058</v>
      </c>
    </row>
    <row r="2096" spans="2:6" x14ac:dyDescent="0.25">
      <c r="B2096" s="18" t="s">
        <v>10</v>
      </c>
      <c r="C2096" s="19">
        <f>40451+(3*365)</f>
        <v>41546</v>
      </c>
      <c r="D2096" s="18" t="s">
        <v>65</v>
      </c>
      <c r="E2096" s="18" t="s">
        <v>59</v>
      </c>
      <c r="F2096" s="21">
        <v>540</v>
      </c>
    </row>
    <row r="2097" spans="2:6" x14ac:dyDescent="0.25">
      <c r="B2097" s="18" t="s">
        <v>8</v>
      </c>
      <c r="C2097" s="19">
        <f>40631+(3*365)</f>
        <v>41726</v>
      </c>
      <c r="D2097" s="18" t="s">
        <v>81</v>
      </c>
      <c r="E2097" s="18" t="s">
        <v>75</v>
      </c>
      <c r="F2097" s="21">
        <v>88</v>
      </c>
    </row>
    <row r="2098" spans="2:6" x14ac:dyDescent="0.25">
      <c r="B2098" s="18" t="s">
        <v>25</v>
      </c>
      <c r="C2098" s="19">
        <f>40589+(3*365)</f>
        <v>41684</v>
      </c>
      <c r="D2098" s="18" t="s">
        <v>78</v>
      </c>
      <c r="E2098" s="18" t="s">
        <v>72</v>
      </c>
      <c r="F2098" s="21">
        <v>2216</v>
      </c>
    </row>
    <row r="2099" spans="2:6" x14ac:dyDescent="0.25">
      <c r="B2099" s="18" t="s">
        <v>11</v>
      </c>
      <c r="C2099" s="19">
        <f>41077+(3*365)</f>
        <v>42172</v>
      </c>
      <c r="D2099" s="18" t="s">
        <v>74</v>
      </c>
      <c r="E2099" s="18" t="s">
        <v>59</v>
      </c>
      <c r="F2099" s="21">
        <v>592</v>
      </c>
    </row>
    <row r="2100" spans="2:6" x14ac:dyDescent="0.25">
      <c r="B2100" s="18" t="s">
        <v>31</v>
      </c>
      <c r="C2100" s="19">
        <f>40332+(3*365)</f>
        <v>41427</v>
      </c>
      <c r="D2100" s="18" t="s">
        <v>76</v>
      </c>
      <c r="E2100" s="18" t="s">
        <v>69</v>
      </c>
      <c r="F2100" s="21">
        <v>1134</v>
      </c>
    </row>
    <row r="2101" spans="2:6" x14ac:dyDescent="0.25">
      <c r="B2101" s="18" t="s">
        <v>18</v>
      </c>
      <c r="C2101" s="19">
        <f>40727+(3*365)</f>
        <v>41822</v>
      </c>
      <c r="D2101" s="18" t="s">
        <v>71</v>
      </c>
      <c r="E2101" s="18" t="s">
        <v>61</v>
      </c>
      <c r="F2101" s="21">
        <v>840</v>
      </c>
    </row>
    <row r="2102" spans="2:6" x14ac:dyDescent="0.25">
      <c r="B2102" s="18" t="s">
        <v>11</v>
      </c>
      <c r="C2102" s="19">
        <f>40874+(3*365)</f>
        <v>41969</v>
      </c>
      <c r="D2102" s="18" t="s">
        <v>74</v>
      </c>
      <c r="E2102" s="18" t="s">
        <v>72</v>
      </c>
      <c r="F2102" s="21">
        <v>630</v>
      </c>
    </row>
    <row r="2103" spans="2:6" x14ac:dyDescent="0.25">
      <c r="B2103" s="18" t="s">
        <v>9</v>
      </c>
      <c r="C2103" s="19">
        <f>40059+(3*365)</f>
        <v>41154</v>
      </c>
      <c r="D2103" s="18" t="s">
        <v>62</v>
      </c>
      <c r="E2103" s="18" t="s">
        <v>66</v>
      </c>
      <c r="F2103" s="21">
        <v>180</v>
      </c>
    </row>
    <row r="2104" spans="2:6" x14ac:dyDescent="0.25">
      <c r="B2104" s="18" t="s">
        <v>25</v>
      </c>
      <c r="C2104" s="19">
        <f>40444+(3*365)</f>
        <v>41539</v>
      </c>
      <c r="D2104" s="18" t="s">
        <v>78</v>
      </c>
      <c r="E2104" s="18" t="s">
        <v>64</v>
      </c>
      <c r="F2104" s="21">
        <v>12390</v>
      </c>
    </row>
    <row r="2105" spans="2:6" x14ac:dyDescent="0.25">
      <c r="B2105" s="18" t="s">
        <v>31</v>
      </c>
      <c r="C2105" s="19">
        <f>40390+(3*365)</f>
        <v>41485</v>
      </c>
      <c r="D2105" s="18" t="s">
        <v>76</v>
      </c>
      <c r="E2105" s="18" t="s">
        <v>63</v>
      </c>
      <c r="F2105" s="21">
        <v>972</v>
      </c>
    </row>
    <row r="2106" spans="2:6" x14ac:dyDescent="0.25">
      <c r="B2106" s="18" t="s">
        <v>31</v>
      </c>
      <c r="C2106" s="19">
        <f>40381+(3*365)</f>
        <v>41476</v>
      </c>
      <c r="D2106" s="18" t="s">
        <v>70</v>
      </c>
      <c r="E2106" s="18" t="s">
        <v>61</v>
      </c>
      <c r="F2106" s="21">
        <v>585</v>
      </c>
    </row>
    <row r="2107" spans="2:6" x14ac:dyDescent="0.25">
      <c r="B2107" s="18" t="s">
        <v>9</v>
      </c>
      <c r="C2107" s="19">
        <f>40632+(3*365)</f>
        <v>41727</v>
      </c>
      <c r="D2107" s="18" t="s">
        <v>62</v>
      </c>
      <c r="E2107" s="18" t="s">
        <v>66</v>
      </c>
      <c r="F2107" s="21">
        <v>735</v>
      </c>
    </row>
    <row r="2108" spans="2:6" x14ac:dyDescent="0.25">
      <c r="B2108" s="18" t="s">
        <v>11</v>
      </c>
      <c r="C2108" s="19">
        <f>40260+(3*365)</f>
        <v>41355</v>
      </c>
      <c r="D2108" s="18" t="s">
        <v>60</v>
      </c>
      <c r="E2108" s="18" t="s">
        <v>72</v>
      </c>
      <c r="F2108" s="21">
        <v>960</v>
      </c>
    </row>
    <row r="2109" spans="2:6" x14ac:dyDescent="0.25">
      <c r="B2109" s="18" t="s">
        <v>31</v>
      </c>
      <c r="C2109" s="19">
        <f>40078+(3*365)</f>
        <v>41173</v>
      </c>
      <c r="D2109" s="18" t="s">
        <v>76</v>
      </c>
      <c r="E2109" s="18" t="s">
        <v>75</v>
      </c>
      <c r="F2109" s="21">
        <v>207</v>
      </c>
    </row>
    <row r="2110" spans="2:6" x14ac:dyDescent="0.25">
      <c r="B2110" s="18" t="s">
        <v>8</v>
      </c>
      <c r="C2110" s="19">
        <f>40855+(3*365)</f>
        <v>41950</v>
      </c>
      <c r="D2110" s="18" t="s">
        <v>81</v>
      </c>
      <c r="E2110" s="18" t="s">
        <v>61</v>
      </c>
      <c r="F2110" s="21">
        <v>292</v>
      </c>
    </row>
    <row r="2111" spans="2:6" x14ac:dyDescent="0.25">
      <c r="B2111" s="18" t="s">
        <v>31</v>
      </c>
      <c r="C2111" s="19">
        <f>40709+(3*365)</f>
        <v>41804</v>
      </c>
      <c r="D2111" s="18" t="s">
        <v>70</v>
      </c>
      <c r="E2111" s="18" t="s">
        <v>75</v>
      </c>
      <c r="F2111" s="21">
        <v>234</v>
      </c>
    </row>
    <row r="2112" spans="2:6" x14ac:dyDescent="0.25">
      <c r="B2112" s="18" t="s">
        <v>9</v>
      </c>
      <c r="C2112" s="19">
        <f>41134+(3*365)</f>
        <v>42229</v>
      </c>
      <c r="D2112" s="18" t="s">
        <v>62</v>
      </c>
      <c r="E2112" s="18" t="s">
        <v>75</v>
      </c>
      <c r="F2112" s="21">
        <v>351</v>
      </c>
    </row>
    <row r="2113" spans="2:6" x14ac:dyDescent="0.25">
      <c r="B2113" s="18" t="s">
        <v>18</v>
      </c>
      <c r="C2113" s="19">
        <f>39899+(3*365)</f>
        <v>40994</v>
      </c>
      <c r="D2113" s="18" t="s">
        <v>71</v>
      </c>
      <c r="E2113" s="18" t="s">
        <v>59</v>
      </c>
      <c r="F2113" s="21">
        <v>392</v>
      </c>
    </row>
    <row r="2114" spans="2:6" x14ac:dyDescent="0.25">
      <c r="B2114" s="18" t="s">
        <v>11</v>
      </c>
      <c r="C2114" s="19">
        <f>40332+(3*365)</f>
        <v>41427</v>
      </c>
      <c r="D2114" s="18" t="s">
        <v>60</v>
      </c>
      <c r="E2114" s="18" t="s">
        <v>59</v>
      </c>
      <c r="F2114" s="21">
        <v>93</v>
      </c>
    </row>
    <row r="2115" spans="2:6" x14ac:dyDescent="0.25">
      <c r="B2115" s="18" t="s">
        <v>31</v>
      </c>
      <c r="C2115" s="19">
        <f>40868+(3*365)</f>
        <v>41963</v>
      </c>
      <c r="D2115" s="18" t="s">
        <v>76</v>
      </c>
      <c r="E2115" s="18" t="s">
        <v>63</v>
      </c>
      <c r="F2115" s="21">
        <v>783</v>
      </c>
    </row>
    <row r="2116" spans="2:6" x14ac:dyDescent="0.25">
      <c r="B2116" s="18" t="s">
        <v>25</v>
      </c>
      <c r="C2116" s="19">
        <f>40422+(3*365)</f>
        <v>41517</v>
      </c>
      <c r="D2116" s="18" t="s">
        <v>79</v>
      </c>
      <c r="E2116" s="18" t="s">
        <v>63</v>
      </c>
      <c r="F2116" s="21">
        <v>555</v>
      </c>
    </row>
    <row r="2117" spans="2:6" x14ac:dyDescent="0.25">
      <c r="B2117" s="18" t="s">
        <v>31</v>
      </c>
      <c r="C2117" s="19">
        <f>40995+(3*365)</f>
        <v>42090</v>
      </c>
      <c r="D2117" s="18" t="s">
        <v>76</v>
      </c>
      <c r="E2117" s="18" t="s">
        <v>66</v>
      </c>
      <c r="F2117" s="21">
        <v>2241</v>
      </c>
    </row>
    <row r="2118" spans="2:6" x14ac:dyDescent="0.25">
      <c r="B2118" s="18" t="s">
        <v>11</v>
      </c>
      <c r="C2118" s="19">
        <f>40874+(3*365)</f>
        <v>41969</v>
      </c>
      <c r="D2118" s="18" t="s">
        <v>74</v>
      </c>
      <c r="E2118" s="18" t="s">
        <v>64</v>
      </c>
      <c r="F2118" s="21">
        <v>5976</v>
      </c>
    </row>
    <row r="2119" spans="2:6" x14ac:dyDescent="0.25">
      <c r="B2119" s="18" t="s">
        <v>11</v>
      </c>
      <c r="C2119" s="19">
        <f>39841+(3*365)</f>
        <v>40936</v>
      </c>
      <c r="D2119" s="18" t="s">
        <v>60</v>
      </c>
      <c r="E2119" s="18" t="s">
        <v>59</v>
      </c>
      <c r="F2119" s="21">
        <v>672</v>
      </c>
    </row>
    <row r="2120" spans="2:6" x14ac:dyDescent="0.25">
      <c r="B2120" s="18" t="s">
        <v>25</v>
      </c>
      <c r="C2120" s="19">
        <f>40518+(3*365)</f>
        <v>41613</v>
      </c>
      <c r="D2120" s="18" t="s">
        <v>79</v>
      </c>
      <c r="E2120" s="18" t="s">
        <v>72</v>
      </c>
      <c r="F2120" s="21">
        <v>5061</v>
      </c>
    </row>
    <row r="2121" spans="2:6" x14ac:dyDescent="0.25">
      <c r="B2121" s="18" t="s">
        <v>21</v>
      </c>
      <c r="C2121" s="19">
        <f>40148+(3*365)</f>
        <v>41243</v>
      </c>
      <c r="D2121" s="18" t="s">
        <v>58</v>
      </c>
      <c r="E2121" s="18" t="s">
        <v>61</v>
      </c>
      <c r="F2121" s="21">
        <v>296</v>
      </c>
    </row>
    <row r="2122" spans="2:6" x14ac:dyDescent="0.25">
      <c r="B2122" s="18" t="s">
        <v>21</v>
      </c>
      <c r="C2122" s="19">
        <f>40263+(3*365)</f>
        <v>41358</v>
      </c>
      <c r="D2122" s="18" t="s">
        <v>58</v>
      </c>
      <c r="E2122" s="18" t="s">
        <v>72</v>
      </c>
      <c r="F2122" s="21">
        <v>3850</v>
      </c>
    </row>
    <row r="2123" spans="2:6" x14ac:dyDescent="0.25">
      <c r="B2123" s="18" t="s">
        <v>25</v>
      </c>
      <c r="C2123" s="19">
        <f>40428+(3*365)</f>
        <v>41523</v>
      </c>
      <c r="D2123" s="18" t="s">
        <v>78</v>
      </c>
      <c r="E2123" s="18" t="s">
        <v>61</v>
      </c>
      <c r="F2123" s="21">
        <v>78</v>
      </c>
    </row>
    <row r="2124" spans="2:6" x14ac:dyDescent="0.25">
      <c r="B2124" s="18" t="s">
        <v>8</v>
      </c>
      <c r="C2124" s="19">
        <f>39995+(3*365)</f>
        <v>41090</v>
      </c>
      <c r="D2124" s="18" t="s">
        <v>81</v>
      </c>
      <c r="E2124" s="18" t="s">
        <v>61</v>
      </c>
      <c r="F2124" s="21">
        <v>528</v>
      </c>
    </row>
    <row r="2125" spans="2:6" x14ac:dyDescent="0.25">
      <c r="B2125" s="18" t="s">
        <v>10</v>
      </c>
      <c r="C2125" s="19">
        <f>40140+(3*365)</f>
        <v>41235</v>
      </c>
      <c r="D2125" s="18" t="s">
        <v>65</v>
      </c>
      <c r="E2125" s="18" t="s">
        <v>75</v>
      </c>
      <c r="F2125" s="21">
        <v>936</v>
      </c>
    </row>
    <row r="2126" spans="2:6" x14ac:dyDescent="0.25">
      <c r="B2126" s="18" t="s">
        <v>25</v>
      </c>
      <c r="C2126" s="19">
        <f>40590+(3*365)</f>
        <v>41685</v>
      </c>
      <c r="D2126" s="18" t="s">
        <v>79</v>
      </c>
      <c r="E2126" s="18" t="s">
        <v>63</v>
      </c>
      <c r="F2126" s="21">
        <v>208</v>
      </c>
    </row>
    <row r="2127" spans="2:6" x14ac:dyDescent="0.25">
      <c r="B2127" s="18" t="s">
        <v>11</v>
      </c>
      <c r="C2127" s="19">
        <f>40864+(3*365)</f>
        <v>41959</v>
      </c>
      <c r="D2127" s="18" t="s">
        <v>60</v>
      </c>
      <c r="E2127" s="18" t="s">
        <v>61</v>
      </c>
      <c r="F2127" s="21">
        <v>708</v>
      </c>
    </row>
    <row r="2128" spans="2:6" x14ac:dyDescent="0.25">
      <c r="B2128" s="18" t="s">
        <v>18</v>
      </c>
      <c r="C2128" s="19">
        <f>40553+(3*365)</f>
        <v>41648</v>
      </c>
      <c r="D2128" s="18" t="s">
        <v>68</v>
      </c>
      <c r="E2128" s="18" t="s">
        <v>61</v>
      </c>
      <c r="F2128" s="21">
        <v>672</v>
      </c>
    </row>
    <row r="2129" spans="2:6" x14ac:dyDescent="0.25">
      <c r="B2129" s="18" t="s">
        <v>9</v>
      </c>
      <c r="C2129" s="19">
        <f>40371+(3*365)</f>
        <v>41466</v>
      </c>
      <c r="D2129" s="18" t="s">
        <v>62</v>
      </c>
      <c r="E2129" s="18" t="s">
        <v>66</v>
      </c>
      <c r="F2129" s="21">
        <v>544</v>
      </c>
    </row>
    <row r="2130" spans="2:6" x14ac:dyDescent="0.25">
      <c r="B2130" s="18" t="s">
        <v>11</v>
      </c>
      <c r="C2130" s="19">
        <f>40805+(3*365)</f>
        <v>41900</v>
      </c>
      <c r="D2130" s="18" t="s">
        <v>74</v>
      </c>
      <c r="E2130" s="18" t="s">
        <v>61</v>
      </c>
      <c r="F2130" s="21">
        <v>1170</v>
      </c>
    </row>
    <row r="2131" spans="2:6" x14ac:dyDescent="0.25">
      <c r="B2131" s="18" t="s">
        <v>10</v>
      </c>
      <c r="C2131" s="19">
        <f>40370+(3*365)</f>
        <v>41465</v>
      </c>
      <c r="D2131" s="18" t="s">
        <v>65</v>
      </c>
      <c r="E2131" s="18" t="s">
        <v>75</v>
      </c>
      <c r="F2131" s="21">
        <v>729</v>
      </c>
    </row>
    <row r="2132" spans="2:6" x14ac:dyDescent="0.25">
      <c r="B2132" s="18" t="s">
        <v>18</v>
      </c>
      <c r="C2132" s="19">
        <f>40280+(3*365)</f>
        <v>41375</v>
      </c>
      <c r="D2132" s="18" t="s">
        <v>68</v>
      </c>
      <c r="E2132" s="18" t="s">
        <v>72</v>
      </c>
      <c r="F2132" s="21">
        <v>450</v>
      </c>
    </row>
    <row r="2133" spans="2:6" x14ac:dyDescent="0.25">
      <c r="B2133" s="18" t="s">
        <v>25</v>
      </c>
      <c r="C2133" s="19">
        <f>41033+(3*365)</f>
        <v>42128</v>
      </c>
      <c r="D2133" s="18" t="s">
        <v>78</v>
      </c>
      <c r="E2133" s="18" t="s">
        <v>69</v>
      </c>
      <c r="F2133" s="21">
        <v>552</v>
      </c>
    </row>
    <row r="2134" spans="2:6" x14ac:dyDescent="0.25">
      <c r="B2134" s="18" t="s">
        <v>9</v>
      </c>
      <c r="C2134" s="19">
        <f>40630+(3*365)</f>
        <v>41725</v>
      </c>
      <c r="D2134" s="18" t="s">
        <v>62</v>
      </c>
      <c r="E2134" s="18" t="s">
        <v>69</v>
      </c>
      <c r="F2134" s="21">
        <v>594</v>
      </c>
    </row>
    <row r="2135" spans="2:6" x14ac:dyDescent="0.25">
      <c r="B2135" s="18" t="s">
        <v>18</v>
      </c>
      <c r="C2135" s="19">
        <f>40617+(3*365)</f>
        <v>41712</v>
      </c>
      <c r="D2135" s="18" t="s">
        <v>71</v>
      </c>
      <c r="E2135" s="18" t="s">
        <v>75</v>
      </c>
      <c r="F2135" s="21">
        <v>960</v>
      </c>
    </row>
    <row r="2136" spans="2:6" x14ac:dyDescent="0.25">
      <c r="B2136" s="18" t="s">
        <v>31</v>
      </c>
      <c r="C2136" s="19">
        <f>40571+(3*365)</f>
        <v>41666</v>
      </c>
      <c r="D2136" s="18" t="s">
        <v>76</v>
      </c>
      <c r="E2136" s="18" t="s">
        <v>61</v>
      </c>
      <c r="F2136" s="21">
        <v>330</v>
      </c>
    </row>
    <row r="2137" spans="2:6" x14ac:dyDescent="0.25">
      <c r="B2137" s="18" t="s">
        <v>31</v>
      </c>
      <c r="C2137" s="19">
        <f>40379+(3*365)</f>
        <v>41474</v>
      </c>
      <c r="D2137" s="18" t="s">
        <v>70</v>
      </c>
      <c r="E2137" s="18" t="s">
        <v>72</v>
      </c>
      <c r="F2137" s="21">
        <v>2988</v>
      </c>
    </row>
    <row r="2138" spans="2:6" x14ac:dyDescent="0.25">
      <c r="B2138" s="18" t="s">
        <v>31</v>
      </c>
      <c r="C2138" s="19">
        <f>39909+(3*365)</f>
        <v>41004</v>
      </c>
      <c r="D2138" s="18" t="s">
        <v>70</v>
      </c>
      <c r="E2138" s="18" t="s">
        <v>63</v>
      </c>
      <c r="F2138" s="21">
        <v>552</v>
      </c>
    </row>
    <row r="2139" spans="2:6" x14ac:dyDescent="0.25">
      <c r="B2139" s="18" t="s">
        <v>11</v>
      </c>
      <c r="C2139" s="19">
        <f>40119+(3*365)</f>
        <v>41214</v>
      </c>
      <c r="D2139" s="18" t="s">
        <v>74</v>
      </c>
      <c r="E2139" s="18" t="s">
        <v>66</v>
      </c>
      <c r="F2139" s="21">
        <v>558</v>
      </c>
    </row>
    <row r="2140" spans="2:6" x14ac:dyDescent="0.25">
      <c r="B2140" s="18" t="s">
        <v>8</v>
      </c>
      <c r="C2140" s="19">
        <f>40710+(3*365)</f>
        <v>41805</v>
      </c>
      <c r="D2140" s="18" t="s">
        <v>77</v>
      </c>
      <c r="E2140" s="18" t="s">
        <v>64</v>
      </c>
      <c r="F2140" s="21">
        <v>5056</v>
      </c>
    </row>
    <row r="2141" spans="2:6" x14ac:dyDescent="0.25">
      <c r="B2141" s="18" t="s">
        <v>25</v>
      </c>
      <c r="C2141" s="19">
        <f>40310+(3*365)</f>
        <v>41405</v>
      </c>
      <c r="D2141" s="18" t="s">
        <v>78</v>
      </c>
      <c r="E2141" s="18" t="s">
        <v>69</v>
      </c>
      <c r="F2141" s="21">
        <v>1782</v>
      </c>
    </row>
    <row r="2142" spans="2:6" x14ac:dyDescent="0.25">
      <c r="B2142" s="18" t="s">
        <v>10</v>
      </c>
      <c r="C2142" s="19">
        <f>40569+(3*365)</f>
        <v>41664</v>
      </c>
      <c r="D2142" s="18" t="s">
        <v>65</v>
      </c>
      <c r="E2142" s="18" t="s">
        <v>72</v>
      </c>
      <c r="F2142" s="21">
        <v>1888</v>
      </c>
    </row>
    <row r="2143" spans="2:6" x14ac:dyDescent="0.25">
      <c r="B2143" s="18" t="s">
        <v>9</v>
      </c>
      <c r="C2143" s="19">
        <f>40748+(3*365)</f>
        <v>41843</v>
      </c>
      <c r="D2143" s="18" t="s">
        <v>62</v>
      </c>
      <c r="E2143" s="18" t="s">
        <v>61</v>
      </c>
      <c r="F2143" s="21">
        <v>744</v>
      </c>
    </row>
    <row r="2144" spans="2:6" x14ac:dyDescent="0.25">
      <c r="B2144" s="18" t="s">
        <v>8</v>
      </c>
      <c r="C2144" s="19">
        <f>40037+(3*365)</f>
        <v>41132</v>
      </c>
      <c r="D2144" s="18" t="s">
        <v>77</v>
      </c>
      <c r="E2144" s="18" t="s">
        <v>75</v>
      </c>
      <c r="F2144" s="21">
        <v>315</v>
      </c>
    </row>
    <row r="2145" spans="2:6" x14ac:dyDescent="0.25">
      <c r="B2145" s="18" t="s">
        <v>11</v>
      </c>
      <c r="C2145" s="19">
        <f>40942+(3*365)</f>
        <v>42037</v>
      </c>
      <c r="D2145" s="18" t="s">
        <v>74</v>
      </c>
      <c r="E2145" s="18" t="s">
        <v>75</v>
      </c>
      <c r="F2145" s="21">
        <v>280</v>
      </c>
    </row>
    <row r="2146" spans="2:6" x14ac:dyDescent="0.25">
      <c r="B2146" s="18" t="s">
        <v>25</v>
      </c>
      <c r="C2146" s="19">
        <f>40961+(3*365)</f>
        <v>42056</v>
      </c>
      <c r="D2146" s="18" t="s">
        <v>79</v>
      </c>
      <c r="E2146" s="18" t="s">
        <v>72</v>
      </c>
      <c r="F2146" s="21">
        <v>2856</v>
      </c>
    </row>
    <row r="2147" spans="2:6" x14ac:dyDescent="0.25">
      <c r="B2147" s="18" t="s">
        <v>8</v>
      </c>
      <c r="C2147" s="19">
        <f>40351+(3*365)</f>
        <v>41446</v>
      </c>
      <c r="D2147" s="18" t="s">
        <v>81</v>
      </c>
      <c r="E2147" s="18" t="s">
        <v>59</v>
      </c>
      <c r="F2147" s="21">
        <v>216</v>
      </c>
    </row>
    <row r="2148" spans="2:6" x14ac:dyDescent="0.25">
      <c r="B2148" s="18" t="s">
        <v>8</v>
      </c>
      <c r="C2148" s="19">
        <f>40696+(3*365)</f>
        <v>41791</v>
      </c>
      <c r="D2148" s="18" t="s">
        <v>77</v>
      </c>
      <c r="E2148" s="18" t="s">
        <v>69</v>
      </c>
      <c r="F2148" s="21">
        <v>4284</v>
      </c>
    </row>
    <row r="2149" spans="2:6" x14ac:dyDescent="0.25">
      <c r="B2149" s="18" t="s">
        <v>25</v>
      </c>
      <c r="C2149" s="19">
        <f>40121+(3*365)</f>
        <v>41216</v>
      </c>
      <c r="D2149" s="18" t="s">
        <v>79</v>
      </c>
      <c r="E2149" s="18" t="s">
        <v>69</v>
      </c>
      <c r="F2149" s="21">
        <v>1780</v>
      </c>
    </row>
    <row r="2150" spans="2:6" x14ac:dyDescent="0.25">
      <c r="B2150" s="18" t="s">
        <v>10</v>
      </c>
      <c r="C2150" s="19">
        <f>40412+(3*365)</f>
        <v>41507</v>
      </c>
      <c r="D2150" s="18" t="s">
        <v>65</v>
      </c>
      <c r="E2150" s="18" t="s">
        <v>72</v>
      </c>
      <c r="F2150" s="21">
        <v>825</v>
      </c>
    </row>
    <row r="2151" spans="2:6" x14ac:dyDescent="0.25">
      <c r="B2151" s="18" t="s">
        <v>8</v>
      </c>
      <c r="C2151" s="19">
        <f>40799+(3*365)</f>
        <v>41894</v>
      </c>
      <c r="D2151" s="18" t="s">
        <v>77</v>
      </c>
      <c r="E2151" s="18" t="s">
        <v>75</v>
      </c>
      <c r="F2151" s="21">
        <v>700</v>
      </c>
    </row>
    <row r="2152" spans="2:6" x14ac:dyDescent="0.25">
      <c r="B2152" s="18" t="s">
        <v>8</v>
      </c>
      <c r="C2152" s="19">
        <f>40791+(3*365)</f>
        <v>41886</v>
      </c>
      <c r="D2152" s="18" t="s">
        <v>77</v>
      </c>
      <c r="E2152" s="18" t="s">
        <v>69</v>
      </c>
      <c r="F2152" s="21">
        <v>3580</v>
      </c>
    </row>
    <row r="2153" spans="2:6" x14ac:dyDescent="0.25">
      <c r="B2153" s="18" t="s">
        <v>10</v>
      </c>
      <c r="C2153" s="19">
        <f>39918+(3*365)</f>
        <v>41013</v>
      </c>
      <c r="D2153" s="18" t="s">
        <v>65</v>
      </c>
      <c r="E2153" s="18" t="s">
        <v>75</v>
      </c>
      <c r="F2153" s="21">
        <v>900</v>
      </c>
    </row>
    <row r="2154" spans="2:6" x14ac:dyDescent="0.25">
      <c r="B2154" s="18" t="s">
        <v>11</v>
      </c>
      <c r="C2154" s="19">
        <f>40210+(3*365)</f>
        <v>41305</v>
      </c>
      <c r="D2154" s="18" t="s">
        <v>60</v>
      </c>
      <c r="E2154" s="18" t="s">
        <v>69</v>
      </c>
      <c r="F2154" s="21">
        <v>4176</v>
      </c>
    </row>
    <row r="2155" spans="2:6" x14ac:dyDescent="0.25">
      <c r="B2155" s="18" t="s">
        <v>18</v>
      </c>
      <c r="C2155" s="19">
        <f>40627+(3*365)</f>
        <v>41722</v>
      </c>
      <c r="D2155" s="18" t="s">
        <v>68</v>
      </c>
      <c r="E2155" s="18" t="s">
        <v>66</v>
      </c>
      <c r="F2155" s="21">
        <v>744</v>
      </c>
    </row>
    <row r="2156" spans="2:6" x14ac:dyDescent="0.25">
      <c r="B2156" s="18" t="s">
        <v>18</v>
      </c>
      <c r="C2156" s="19">
        <f>39995+(3*365)</f>
        <v>41090</v>
      </c>
      <c r="D2156" s="18" t="s">
        <v>68</v>
      </c>
      <c r="E2156" s="18" t="s">
        <v>75</v>
      </c>
      <c r="F2156" s="21">
        <v>68</v>
      </c>
    </row>
    <row r="2157" spans="2:6" x14ac:dyDescent="0.25">
      <c r="B2157" s="18" t="s">
        <v>10</v>
      </c>
      <c r="C2157" s="19">
        <f>40304+(3*365)</f>
        <v>41399</v>
      </c>
      <c r="D2157" s="18" t="s">
        <v>65</v>
      </c>
      <c r="E2157" s="18" t="s">
        <v>59</v>
      </c>
      <c r="F2157" s="21">
        <v>216</v>
      </c>
    </row>
    <row r="2158" spans="2:6" x14ac:dyDescent="0.25">
      <c r="B2158" s="18" t="s">
        <v>9</v>
      </c>
      <c r="C2158" s="19">
        <f>41079+(3*365)</f>
        <v>42174</v>
      </c>
      <c r="D2158" s="18" t="s">
        <v>62</v>
      </c>
      <c r="E2158" s="18" t="s">
        <v>72</v>
      </c>
      <c r="F2158" s="21">
        <v>219</v>
      </c>
    </row>
    <row r="2159" spans="2:6" x14ac:dyDescent="0.25">
      <c r="B2159" s="18" t="s">
        <v>8</v>
      </c>
      <c r="C2159" s="19">
        <f>40384+(3*365)</f>
        <v>41479</v>
      </c>
      <c r="D2159" s="18" t="s">
        <v>81</v>
      </c>
      <c r="E2159" s="18" t="s">
        <v>75</v>
      </c>
      <c r="F2159" s="21">
        <v>1368</v>
      </c>
    </row>
    <row r="2160" spans="2:6" x14ac:dyDescent="0.25">
      <c r="B2160" s="18" t="s">
        <v>10</v>
      </c>
      <c r="C2160" s="19">
        <f>40183+(3*365)</f>
        <v>41278</v>
      </c>
      <c r="D2160" s="18" t="s">
        <v>65</v>
      </c>
      <c r="E2160" s="18" t="s">
        <v>59</v>
      </c>
      <c r="F2160" s="21">
        <v>168</v>
      </c>
    </row>
    <row r="2161" spans="2:6" x14ac:dyDescent="0.25">
      <c r="B2161" s="18" t="s">
        <v>10</v>
      </c>
      <c r="C2161" s="19">
        <f>40401+(3*365)</f>
        <v>41496</v>
      </c>
      <c r="D2161" s="18" t="s">
        <v>65</v>
      </c>
      <c r="E2161" s="18" t="s">
        <v>64</v>
      </c>
      <c r="F2161" s="21">
        <v>5976</v>
      </c>
    </row>
    <row r="2162" spans="2:6" x14ac:dyDescent="0.25">
      <c r="B2162" s="18" t="s">
        <v>25</v>
      </c>
      <c r="C2162" s="19">
        <f>40725+(3*365)</f>
        <v>41820</v>
      </c>
      <c r="D2162" s="18" t="s">
        <v>79</v>
      </c>
      <c r="E2162" s="18" t="s">
        <v>61</v>
      </c>
      <c r="F2162" s="21">
        <v>812</v>
      </c>
    </row>
    <row r="2163" spans="2:6" x14ac:dyDescent="0.25">
      <c r="B2163" s="18" t="s">
        <v>8</v>
      </c>
      <c r="C2163" s="19">
        <f>41126+(3*365)</f>
        <v>42221</v>
      </c>
      <c r="D2163" s="18" t="s">
        <v>77</v>
      </c>
      <c r="E2163" s="18" t="s">
        <v>69</v>
      </c>
      <c r="F2163" s="21">
        <v>4320</v>
      </c>
    </row>
    <row r="2164" spans="2:6" x14ac:dyDescent="0.25">
      <c r="B2164" s="18" t="s">
        <v>10</v>
      </c>
      <c r="C2164" s="19">
        <f>40619+(3*365)</f>
        <v>41714</v>
      </c>
      <c r="D2164" s="18" t="s">
        <v>67</v>
      </c>
      <c r="E2164" s="18" t="s">
        <v>64</v>
      </c>
      <c r="F2164" s="21">
        <v>2384</v>
      </c>
    </row>
    <row r="2165" spans="2:6" x14ac:dyDescent="0.25">
      <c r="B2165" s="18" t="s">
        <v>31</v>
      </c>
      <c r="C2165" s="19">
        <f>40141+(3*365)</f>
        <v>41236</v>
      </c>
      <c r="D2165" s="18" t="s">
        <v>70</v>
      </c>
      <c r="E2165" s="18" t="s">
        <v>75</v>
      </c>
      <c r="F2165" s="21">
        <v>186</v>
      </c>
    </row>
    <row r="2166" spans="2:6" x14ac:dyDescent="0.25">
      <c r="B2166" s="18" t="s">
        <v>31</v>
      </c>
      <c r="C2166" s="19">
        <f>40295+(3*365)</f>
        <v>41390</v>
      </c>
      <c r="D2166" s="18" t="s">
        <v>70</v>
      </c>
      <c r="E2166" s="18" t="s">
        <v>72</v>
      </c>
      <c r="F2166" s="21">
        <v>7209</v>
      </c>
    </row>
    <row r="2167" spans="2:6" x14ac:dyDescent="0.25">
      <c r="B2167" s="18" t="s">
        <v>31</v>
      </c>
      <c r="C2167" s="19">
        <f>39931+(3*365)</f>
        <v>41026</v>
      </c>
      <c r="D2167" s="18" t="s">
        <v>76</v>
      </c>
      <c r="E2167" s="18" t="s">
        <v>61</v>
      </c>
      <c r="F2167" s="21">
        <v>972</v>
      </c>
    </row>
    <row r="2168" spans="2:6" x14ac:dyDescent="0.25">
      <c r="B2168" s="18" t="s">
        <v>10</v>
      </c>
      <c r="C2168" s="19">
        <f>41019+(3*365)</f>
        <v>42114</v>
      </c>
      <c r="D2168" s="18" t="s">
        <v>65</v>
      </c>
      <c r="E2168" s="18" t="s">
        <v>69</v>
      </c>
      <c r="F2168" s="21">
        <v>2250</v>
      </c>
    </row>
    <row r="2169" spans="2:6" x14ac:dyDescent="0.25">
      <c r="B2169" s="18" t="s">
        <v>10</v>
      </c>
      <c r="C2169" s="19">
        <f>41214+(3*365)</f>
        <v>42309</v>
      </c>
      <c r="D2169" s="18" t="s">
        <v>67</v>
      </c>
      <c r="E2169" s="18" t="s">
        <v>72</v>
      </c>
      <c r="F2169" s="21">
        <v>162</v>
      </c>
    </row>
    <row r="2170" spans="2:6" x14ac:dyDescent="0.25">
      <c r="B2170" s="18" t="s">
        <v>31</v>
      </c>
      <c r="C2170" s="19">
        <f>41223+(3*365)</f>
        <v>42318</v>
      </c>
      <c r="D2170" s="18" t="s">
        <v>70</v>
      </c>
      <c r="E2170" s="18" t="s">
        <v>63</v>
      </c>
      <c r="F2170" s="21">
        <v>1674</v>
      </c>
    </row>
    <row r="2171" spans="2:6" x14ac:dyDescent="0.25">
      <c r="B2171" s="18" t="s">
        <v>8</v>
      </c>
      <c r="C2171" s="19">
        <f>39867+(3*365)</f>
        <v>40962</v>
      </c>
      <c r="D2171" s="18" t="s">
        <v>81</v>
      </c>
      <c r="E2171" s="18" t="s">
        <v>64</v>
      </c>
      <c r="F2171" s="21">
        <v>6453</v>
      </c>
    </row>
    <row r="2172" spans="2:6" x14ac:dyDescent="0.25">
      <c r="B2172" s="18" t="s">
        <v>21</v>
      </c>
      <c r="C2172" s="19">
        <f>40410+(3*365)</f>
        <v>41505</v>
      </c>
      <c r="D2172" s="18" t="s">
        <v>73</v>
      </c>
      <c r="E2172" s="18" t="s">
        <v>75</v>
      </c>
      <c r="F2172" s="21">
        <v>216</v>
      </c>
    </row>
    <row r="2173" spans="2:6" x14ac:dyDescent="0.25">
      <c r="B2173" s="18" t="s">
        <v>21</v>
      </c>
      <c r="C2173" s="19">
        <f>40196+(3*365)</f>
        <v>41291</v>
      </c>
      <c r="D2173" s="18" t="s">
        <v>58</v>
      </c>
      <c r="E2173" s="18" t="s">
        <v>66</v>
      </c>
      <c r="F2173" s="21">
        <v>136</v>
      </c>
    </row>
    <row r="2174" spans="2:6" x14ac:dyDescent="0.25">
      <c r="B2174" s="18" t="s">
        <v>9</v>
      </c>
      <c r="C2174" s="19">
        <f>40700+(3*365)</f>
        <v>41795</v>
      </c>
      <c r="D2174" s="18" t="s">
        <v>80</v>
      </c>
      <c r="E2174" s="18" t="s">
        <v>69</v>
      </c>
      <c r="F2174" s="21">
        <v>528</v>
      </c>
    </row>
    <row r="2175" spans="2:6" x14ac:dyDescent="0.25">
      <c r="B2175" s="18" t="s">
        <v>8</v>
      </c>
      <c r="C2175" s="19">
        <f>40720+(3*365)</f>
        <v>41815</v>
      </c>
      <c r="D2175" s="18" t="s">
        <v>81</v>
      </c>
      <c r="E2175" s="18" t="s">
        <v>64</v>
      </c>
      <c r="F2175" s="21">
        <v>12376</v>
      </c>
    </row>
    <row r="2176" spans="2:6" x14ac:dyDescent="0.25">
      <c r="B2176" s="18" t="s">
        <v>18</v>
      </c>
      <c r="C2176" s="19">
        <f>40427+(3*365)</f>
        <v>41522</v>
      </c>
      <c r="D2176" s="18" t="s">
        <v>68</v>
      </c>
      <c r="E2176" s="18" t="s">
        <v>69</v>
      </c>
      <c r="F2176" s="21">
        <v>1956</v>
      </c>
    </row>
    <row r="2177" spans="2:6" x14ac:dyDescent="0.25">
      <c r="B2177" s="18" t="s">
        <v>11</v>
      </c>
      <c r="C2177" s="19">
        <f>40296+(3*365)</f>
        <v>41391</v>
      </c>
      <c r="D2177" s="18" t="s">
        <v>74</v>
      </c>
      <c r="E2177" s="18" t="s">
        <v>64</v>
      </c>
      <c r="F2177" s="21">
        <v>8592</v>
      </c>
    </row>
    <row r="2178" spans="2:6" x14ac:dyDescent="0.25">
      <c r="B2178" s="18" t="s">
        <v>18</v>
      </c>
      <c r="C2178" s="19">
        <f>40235+(3*365)</f>
        <v>41330</v>
      </c>
      <c r="D2178" s="18" t="s">
        <v>71</v>
      </c>
      <c r="E2178" s="18" t="s">
        <v>72</v>
      </c>
      <c r="F2178" s="21">
        <v>3885</v>
      </c>
    </row>
    <row r="2179" spans="2:6" x14ac:dyDescent="0.25">
      <c r="B2179" s="18" t="s">
        <v>8</v>
      </c>
      <c r="C2179" s="19">
        <f>40051+(3*365)</f>
        <v>41146</v>
      </c>
      <c r="D2179" s="18" t="s">
        <v>81</v>
      </c>
      <c r="E2179" s="18" t="s">
        <v>69</v>
      </c>
      <c r="F2179" s="21">
        <v>2436</v>
      </c>
    </row>
    <row r="2180" spans="2:6" x14ac:dyDescent="0.25">
      <c r="B2180" s="18" t="s">
        <v>31</v>
      </c>
      <c r="C2180" s="19">
        <f>40661+(3*365)</f>
        <v>41756</v>
      </c>
      <c r="D2180" s="18" t="s">
        <v>70</v>
      </c>
      <c r="E2180" s="18" t="s">
        <v>61</v>
      </c>
      <c r="F2180" s="21">
        <v>1134</v>
      </c>
    </row>
    <row r="2181" spans="2:6" x14ac:dyDescent="0.25">
      <c r="B2181" s="18" t="s">
        <v>31</v>
      </c>
      <c r="C2181" s="19">
        <f>40521+(3*365)</f>
        <v>41616</v>
      </c>
      <c r="D2181" s="18" t="s">
        <v>70</v>
      </c>
      <c r="E2181" s="18" t="s">
        <v>64</v>
      </c>
      <c r="F2181" s="21">
        <v>15498</v>
      </c>
    </row>
    <row r="2182" spans="2:6" x14ac:dyDescent="0.25">
      <c r="B2182" s="18" t="s">
        <v>9</v>
      </c>
      <c r="C2182" s="19">
        <f>40527+(3*365)</f>
        <v>41622</v>
      </c>
      <c r="D2182" s="18" t="s">
        <v>62</v>
      </c>
      <c r="E2182" s="18" t="s">
        <v>59</v>
      </c>
      <c r="F2182" s="21">
        <v>290</v>
      </c>
    </row>
    <row r="2183" spans="2:6" x14ac:dyDescent="0.25">
      <c r="B2183" s="18" t="s">
        <v>10</v>
      </c>
      <c r="C2183" s="19">
        <f>40678+(3*365)</f>
        <v>41773</v>
      </c>
      <c r="D2183" s="18" t="s">
        <v>65</v>
      </c>
      <c r="E2183" s="18" t="s">
        <v>66</v>
      </c>
      <c r="F2183" s="21">
        <v>152</v>
      </c>
    </row>
    <row r="2184" spans="2:6" x14ac:dyDescent="0.25">
      <c r="B2184" s="18" t="s">
        <v>18</v>
      </c>
      <c r="C2184" s="19">
        <f>40721+(3*365)</f>
        <v>41816</v>
      </c>
      <c r="D2184" s="18" t="s">
        <v>68</v>
      </c>
      <c r="E2184" s="18" t="s">
        <v>59</v>
      </c>
      <c r="F2184" s="21">
        <v>124</v>
      </c>
    </row>
    <row r="2185" spans="2:6" x14ac:dyDescent="0.25">
      <c r="B2185" s="18" t="s">
        <v>21</v>
      </c>
      <c r="C2185" s="19">
        <f>40491+(3*365)</f>
        <v>41586</v>
      </c>
      <c r="D2185" s="18" t="s">
        <v>73</v>
      </c>
      <c r="E2185" s="18" t="s">
        <v>66</v>
      </c>
      <c r="F2185" s="21">
        <v>180</v>
      </c>
    </row>
    <row r="2186" spans="2:6" x14ac:dyDescent="0.25">
      <c r="B2186" s="18" t="s">
        <v>25</v>
      </c>
      <c r="C2186" s="19">
        <f>41149+(3*365)</f>
        <v>42244</v>
      </c>
      <c r="D2186" s="18" t="s">
        <v>78</v>
      </c>
      <c r="E2186" s="18" t="s">
        <v>72</v>
      </c>
      <c r="F2186" s="21">
        <v>1272</v>
      </c>
    </row>
    <row r="2187" spans="2:6" x14ac:dyDescent="0.25">
      <c r="B2187" s="18" t="s">
        <v>31</v>
      </c>
      <c r="C2187" s="19">
        <f>40263+(3*365)</f>
        <v>41358</v>
      </c>
      <c r="D2187" s="18" t="s">
        <v>70</v>
      </c>
      <c r="E2187" s="18" t="s">
        <v>64</v>
      </c>
      <c r="F2187" s="21">
        <v>11040</v>
      </c>
    </row>
    <row r="2188" spans="2:6" x14ac:dyDescent="0.25">
      <c r="B2188" s="18" t="s">
        <v>25</v>
      </c>
      <c r="C2188" s="19">
        <f>40922+(3*365)</f>
        <v>42017</v>
      </c>
      <c r="D2188" s="18" t="s">
        <v>78</v>
      </c>
      <c r="E2188" s="18" t="s">
        <v>64</v>
      </c>
      <c r="F2188" s="21">
        <v>1540</v>
      </c>
    </row>
    <row r="2189" spans="2:6" x14ac:dyDescent="0.25">
      <c r="B2189" s="18" t="s">
        <v>31</v>
      </c>
      <c r="C2189" s="19">
        <f>40466+(3*365)</f>
        <v>41561</v>
      </c>
      <c r="D2189" s="18" t="s">
        <v>76</v>
      </c>
      <c r="E2189" s="18" t="s">
        <v>69</v>
      </c>
      <c r="F2189" s="21">
        <v>3708</v>
      </c>
    </row>
    <row r="2190" spans="2:6" x14ac:dyDescent="0.25">
      <c r="B2190" s="18" t="s">
        <v>11</v>
      </c>
      <c r="C2190" s="19">
        <f>40500+(3*365)</f>
        <v>41595</v>
      </c>
      <c r="D2190" s="18" t="s">
        <v>74</v>
      </c>
      <c r="E2190" s="18" t="s">
        <v>72</v>
      </c>
      <c r="F2190" s="21">
        <v>2097</v>
      </c>
    </row>
    <row r="2191" spans="2:6" x14ac:dyDescent="0.25">
      <c r="B2191" s="18" t="s">
        <v>11</v>
      </c>
      <c r="C2191" s="19">
        <f>40636+(3*365)</f>
        <v>41731</v>
      </c>
      <c r="D2191" s="18" t="s">
        <v>60</v>
      </c>
      <c r="E2191" s="18" t="s">
        <v>59</v>
      </c>
      <c r="F2191" s="21">
        <v>204</v>
      </c>
    </row>
    <row r="2192" spans="2:6" x14ac:dyDescent="0.25">
      <c r="B2192" s="18" t="s">
        <v>25</v>
      </c>
      <c r="C2192" s="19">
        <f>40197+(3*365)</f>
        <v>41292</v>
      </c>
      <c r="D2192" s="18" t="s">
        <v>78</v>
      </c>
      <c r="E2192" s="18" t="s">
        <v>63</v>
      </c>
      <c r="F2192" s="21">
        <v>924</v>
      </c>
    </row>
    <row r="2193" spans="2:6" x14ac:dyDescent="0.25">
      <c r="B2193" s="18" t="s">
        <v>9</v>
      </c>
      <c r="C2193" s="19">
        <f>40348+(3*365)</f>
        <v>41443</v>
      </c>
      <c r="D2193" s="18" t="s">
        <v>80</v>
      </c>
      <c r="E2193" s="18" t="s">
        <v>69</v>
      </c>
      <c r="F2193" s="21">
        <v>1480</v>
      </c>
    </row>
    <row r="2194" spans="2:6" x14ac:dyDescent="0.25">
      <c r="B2194" s="18" t="s">
        <v>11</v>
      </c>
      <c r="C2194" s="19">
        <f>40013+(3*365)</f>
        <v>41108</v>
      </c>
      <c r="D2194" s="18" t="s">
        <v>74</v>
      </c>
      <c r="E2194" s="18" t="s">
        <v>61</v>
      </c>
      <c r="F2194" s="21">
        <v>648</v>
      </c>
    </row>
    <row r="2195" spans="2:6" x14ac:dyDescent="0.25">
      <c r="B2195" s="18" t="s">
        <v>11</v>
      </c>
      <c r="C2195" s="19">
        <f>40467+(3*365)</f>
        <v>41562</v>
      </c>
      <c r="D2195" s="18" t="s">
        <v>74</v>
      </c>
      <c r="E2195" s="18" t="s">
        <v>72</v>
      </c>
      <c r="F2195" s="21">
        <v>705</v>
      </c>
    </row>
    <row r="2196" spans="2:6" x14ac:dyDescent="0.25">
      <c r="B2196" s="18" t="s">
        <v>10</v>
      </c>
      <c r="C2196" s="19">
        <f>41029+(3*365)</f>
        <v>42124</v>
      </c>
      <c r="D2196" s="18" t="s">
        <v>67</v>
      </c>
      <c r="E2196" s="18" t="s">
        <v>59</v>
      </c>
      <c r="F2196" s="21">
        <v>684</v>
      </c>
    </row>
    <row r="2197" spans="2:6" x14ac:dyDescent="0.25">
      <c r="B2197" s="18" t="s">
        <v>18</v>
      </c>
      <c r="C2197" s="19">
        <f>41022+(3*365)</f>
        <v>42117</v>
      </c>
      <c r="D2197" s="18" t="s">
        <v>71</v>
      </c>
      <c r="E2197" s="18" t="s">
        <v>61</v>
      </c>
      <c r="F2197" s="21">
        <v>564</v>
      </c>
    </row>
    <row r="2198" spans="2:6" x14ac:dyDescent="0.25">
      <c r="B2198" s="18" t="s">
        <v>10</v>
      </c>
      <c r="C2198" s="19">
        <f>41198+(3*365)</f>
        <v>42293</v>
      </c>
      <c r="D2198" s="18" t="s">
        <v>67</v>
      </c>
      <c r="E2198" s="18" t="s">
        <v>69</v>
      </c>
      <c r="F2198" s="21">
        <v>1638</v>
      </c>
    </row>
    <row r="2199" spans="2:6" x14ac:dyDescent="0.25">
      <c r="B2199" s="18" t="s">
        <v>21</v>
      </c>
      <c r="C2199" s="19">
        <f>41114+(3*365)</f>
        <v>42209</v>
      </c>
      <c r="D2199" s="18" t="s">
        <v>58</v>
      </c>
      <c r="E2199" s="18" t="s">
        <v>63</v>
      </c>
      <c r="F2199" s="21">
        <v>208</v>
      </c>
    </row>
    <row r="2200" spans="2:6" x14ac:dyDescent="0.25">
      <c r="B2200" s="18" t="s">
        <v>9</v>
      </c>
      <c r="C2200" s="19">
        <f>40693+(3*365)</f>
        <v>41788</v>
      </c>
      <c r="D2200" s="18" t="s">
        <v>62</v>
      </c>
      <c r="E2200" s="18" t="s">
        <v>64</v>
      </c>
      <c r="F2200" s="21">
        <v>6831</v>
      </c>
    </row>
    <row r="2201" spans="2:6" x14ac:dyDescent="0.25">
      <c r="B2201" s="18" t="s">
        <v>9</v>
      </c>
      <c r="C2201" s="19">
        <f>40376+(3*365)</f>
        <v>41471</v>
      </c>
      <c r="D2201" s="18" t="s">
        <v>62</v>
      </c>
      <c r="E2201" s="18" t="s">
        <v>64</v>
      </c>
      <c r="F2201" s="21">
        <v>12582</v>
      </c>
    </row>
    <row r="2202" spans="2:6" x14ac:dyDescent="0.25">
      <c r="B2202" s="18" t="s">
        <v>31</v>
      </c>
      <c r="C2202" s="19">
        <f>40147+(3*365)</f>
        <v>41242</v>
      </c>
      <c r="D2202" s="18" t="s">
        <v>70</v>
      </c>
      <c r="E2202" s="18" t="s">
        <v>63</v>
      </c>
      <c r="F2202" s="21">
        <v>882</v>
      </c>
    </row>
    <row r="2203" spans="2:6" x14ac:dyDescent="0.25">
      <c r="B2203" s="18" t="s">
        <v>18</v>
      </c>
      <c r="C2203" s="19">
        <f>40343+(3*365)</f>
        <v>41438</v>
      </c>
      <c r="D2203" s="18" t="s">
        <v>71</v>
      </c>
      <c r="E2203" s="18" t="s">
        <v>66</v>
      </c>
      <c r="F2203" s="21">
        <v>1896</v>
      </c>
    </row>
    <row r="2204" spans="2:6" x14ac:dyDescent="0.25">
      <c r="B2204" s="18" t="s">
        <v>21</v>
      </c>
      <c r="C2204" s="19">
        <f>40709+(3*365)</f>
        <v>41804</v>
      </c>
      <c r="D2204" s="18" t="s">
        <v>58</v>
      </c>
      <c r="E2204" s="18" t="s">
        <v>61</v>
      </c>
      <c r="F2204" s="21">
        <v>456</v>
      </c>
    </row>
    <row r="2205" spans="2:6" x14ac:dyDescent="0.25">
      <c r="B2205" s="18" t="s">
        <v>10</v>
      </c>
      <c r="C2205" s="19">
        <f>40462+(3*365)</f>
        <v>41557</v>
      </c>
      <c r="D2205" s="18" t="s">
        <v>67</v>
      </c>
      <c r="E2205" s="18" t="s">
        <v>64</v>
      </c>
      <c r="F2205" s="21">
        <v>2223</v>
      </c>
    </row>
    <row r="2206" spans="2:6" x14ac:dyDescent="0.25">
      <c r="B2206" s="18" t="s">
        <v>10</v>
      </c>
      <c r="C2206" s="19">
        <f>40514+(3*365)</f>
        <v>41609</v>
      </c>
      <c r="D2206" s="18" t="s">
        <v>67</v>
      </c>
      <c r="E2206" s="18" t="s">
        <v>69</v>
      </c>
      <c r="F2206" s="21">
        <v>3267</v>
      </c>
    </row>
    <row r="2207" spans="2:6" x14ac:dyDescent="0.25">
      <c r="B2207" s="18" t="s">
        <v>31</v>
      </c>
      <c r="C2207" s="19">
        <f>40152+(3*365)</f>
        <v>41247</v>
      </c>
      <c r="D2207" s="18" t="s">
        <v>76</v>
      </c>
      <c r="E2207" s="18" t="s">
        <v>61</v>
      </c>
      <c r="F2207" s="21">
        <v>1080</v>
      </c>
    </row>
    <row r="2208" spans="2:6" x14ac:dyDescent="0.25">
      <c r="B2208" s="18" t="s">
        <v>10</v>
      </c>
      <c r="C2208" s="19">
        <f>40274+(3*365)</f>
        <v>41369</v>
      </c>
      <c r="D2208" s="18" t="s">
        <v>65</v>
      </c>
      <c r="E2208" s="18" t="s">
        <v>64</v>
      </c>
      <c r="F2208" s="21">
        <v>5970</v>
      </c>
    </row>
    <row r="2209" spans="2:6" x14ac:dyDescent="0.25">
      <c r="B2209" s="18" t="s">
        <v>9</v>
      </c>
      <c r="C2209" s="19">
        <f>40693+(3*365)</f>
        <v>41788</v>
      </c>
      <c r="D2209" s="18" t="s">
        <v>80</v>
      </c>
      <c r="E2209" s="18" t="s">
        <v>75</v>
      </c>
      <c r="F2209" s="21">
        <v>216</v>
      </c>
    </row>
    <row r="2210" spans="2:6" x14ac:dyDescent="0.25">
      <c r="B2210" s="18" t="s">
        <v>18</v>
      </c>
      <c r="C2210" s="19">
        <f>41119+(3*365)</f>
        <v>42214</v>
      </c>
      <c r="D2210" s="18" t="s">
        <v>68</v>
      </c>
      <c r="E2210" s="18" t="s">
        <v>64</v>
      </c>
      <c r="F2210" s="21">
        <v>10080</v>
      </c>
    </row>
    <row r="2211" spans="2:6" x14ac:dyDescent="0.25">
      <c r="B2211" s="18" t="s">
        <v>18</v>
      </c>
      <c r="C2211" s="19">
        <f>40199+(3*365)</f>
        <v>41294</v>
      </c>
      <c r="D2211" s="18" t="s">
        <v>68</v>
      </c>
      <c r="E2211" s="18" t="s">
        <v>72</v>
      </c>
      <c r="F2211" s="21">
        <v>675</v>
      </c>
    </row>
    <row r="2212" spans="2:6" x14ac:dyDescent="0.25">
      <c r="B2212" s="18" t="s">
        <v>18</v>
      </c>
      <c r="C2212" s="19">
        <f>40853+(3*365)</f>
        <v>41948</v>
      </c>
      <c r="D2212" s="18" t="s">
        <v>68</v>
      </c>
      <c r="E2212" s="18" t="s">
        <v>64</v>
      </c>
      <c r="F2212" s="21">
        <v>8240</v>
      </c>
    </row>
    <row r="2213" spans="2:6" x14ac:dyDescent="0.25">
      <c r="B2213" s="18" t="s">
        <v>25</v>
      </c>
      <c r="C2213" s="19">
        <f>39876+(3*365)</f>
        <v>40971</v>
      </c>
      <c r="D2213" s="18" t="s">
        <v>79</v>
      </c>
      <c r="E2213" s="18" t="s">
        <v>61</v>
      </c>
      <c r="F2213" s="21">
        <v>630</v>
      </c>
    </row>
    <row r="2214" spans="2:6" x14ac:dyDescent="0.25">
      <c r="B2214" s="18" t="s">
        <v>9</v>
      </c>
      <c r="C2214" s="19">
        <f>39936+(3*365)</f>
        <v>41031</v>
      </c>
      <c r="D2214" s="18" t="s">
        <v>62</v>
      </c>
      <c r="E2214" s="18" t="s">
        <v>66</v>
      </c>
      <c r="F2214" s="21">
        <v>580</v>
      </c>
    </row>
    <row r="2215" spans="2:6" x14ac:dyDescent="0.25">
      <c r="B2215" s="18" t="s">
        <v>8</v>
      </c>
      <c r="C2215" s="19">
        <f>40721+(3*365)</f>
        <v>41816</v>
      </c>
      <c r="D2215" s="18" t="s">
        <v>81</v>
      </c>
      <c r="E2215" s="18" t="s">
        <v>63</v>
      </c>
      <c r="F2215" s="21">
        <v>212</v>
      </c>
    </row>
    <row r="2216" spans="2:6" x14ac:dyDescent="0.25">
      <c r="B2216" s="18" t="s">
        <v>21</v>
      </c>
      <c r="C2216" s="19">
        <f>39949+(3*365)</f>
        <v>41044</v>
      </c>
      <c r="D2216" s="18" t="s">
        <v>73</v>
      </c>
      <c r="E2216" s="18" t="s">
        <v>63</v>
      </c>
      <c r="F2216" s="21">
        <v>68</v>
      </c>
    </row>
    <row r="2217" spans="2:6" x14ac:dyDescent="0.25">
      <c r="B2217" s="18" t="s">
        <v>18</v>
      </c>
      <c r="C2217" s="19">
        <f>40197+(3*365)</f>
        <v>41292</v>
      </c>
      <c r="D2217" s="18" t="s">
        <v>68</v>
      </c>
      <c r="E2217" s="18" t="s">
        <v>69</v>
      </c>
      <c r="F2217" s="21">
        <v>360</v>
      </c>
    </row>
    <row r="2218" spans="2:6" x14ac:dyDescent="0.25">
      <c r="B2218" s="18" t="s">
        <v>25</v>
      </c>
      <c r="C2218" s="19">
        <f>40371+(3*365)</f>
        <v>41466</v>
      </c>
      <c r="D2218" s="18" t="s">
        <v>78</v>
      </c>
      <c r="E2218" s="18" t="s">
        <v>59</v>
      </c>
      <c r="F2218" s="21">
        <v>225</v>
      </c>
    </row>
    <row r="2219" spans="2:6" x14ac:dyDescent="0.25">
      <c r="B2219" s="18" t="s">
        <v>10</v>
      </c>
      <c r="C2219" s="19">
        <f>39957+(3*365)</f>
        <v>41052</v>
      </c>
      <c r="D2219" s="18" t="s">
        <v>67</v>
      </c>
      <c r="E2219" s="18" t="s">
        <v>66</v>
      </c>
      <c r="F2219" s="21">
        <v>1032</v>
      </c>
    </row>
    <row r="2220" spans="2:6" x14ac:dyDescent="0.25">
      <c r="B2220" s="18" t="s">
        <v>31</v>
      </c>
      <c r="C2220" s="19">
        <f>39903+(3*365)</f>
        <v>40998</v>
      </c>
      <c r="D2220" s="18" t="s">
        <v>76</v>
      </c>
      <c r="E2220" s="18" t="s">
        <v>69</v>
      </c>
      <c r="F2220" s="21">
        <v>207</v>
      </c>
    </row>
    <row r="2221" spans="2:6" x14ac:dyDescent="0.25">
      <c r="B2221" s="18" t="s">
        <v>31</v>
      </c>
      <c r="C2221" s="19">
        <f>40244+(3*365)</f>
        <v>41339</v>
      </c>
      <c r="D2221" s="18" t="s">
        <v>76</v>
      </c>
      <c r="E2221" s="18" t="s">
        <v>63</v>
      </c>
      <c r="F2221" s="21">
        <v>528</v>
      </c>
    </row>
    <row r="2222" spans="2:6" x14ac:dyDescent="0.25">
      <c r="B2222" s="18" t="s">
        <v>21</v>
      </c>
      <c r="C2222" s="19">
        <f>39886+(3*365)</f>
        <v>40981</v>
      </c>
      <c r="D2222" s="18" t="s">
        <v>58</v>
      </c>
      <c r="E2222" s="18" t="s">
        <v>69</v>
      </c>
      <c r="F2222" s="21">
        <v>1593</v>
      </c>
    </row>
    <row r="2223" spans="2:6" x14ac:dyDescent="0.25">
      <c r="B2223" s="18" t="s">
        <v>9</v>
      </c>
      <c r="C2223" s="19">
        <f>40789+(3*365)</f>
        <v>41884</v>
      </c>
      <c r="D2223" s="18" t="s">
        <v>80</v>
      </c>
      <c r="E2223" s="18" t="s">
        <v>66</v>
      </c>
      <c r="F2223" s="21">
        <v>1224</v>
      </c>
    </row>
    <row r="2224" spans="2:6" x14ac:dyDescent="0.25">
      <c r="B2224" s="18" t="s">
        <v>31</v>
      </c>
      <c r="C2224" s="19">
        <f>40687+(3*365)</f>
        <v>41782</v>
      </c>
      <c r="D2224" s="18" t="s">
        <v>70</v>
      </c>
      <c r="E2224" s="18" t="s">
        <v>63</v>
      </c>
      <c r="F2224" s="21">
        <v>159</v>
      </c>
    </row>
    <row r="2225" spans="2:6" x14ac:dyDescent="0.25">
      <c r="B2225" s="18" t="s">
        <v>21</v>
      </c>
      <c r="C2225" s="19">
        <f>39986+(3*365)</f>
        <v>41081</v>
      </c>
      <c r="D2225" s="18" t="s">
        <v>58</v>
      </c>
      <c r="E2225" s="18" t="s">
        <v>75</v>
      </c>
      <c r="F2225" s="21">
        <v>136</v>
      </c>
    </row>
    <row r="2226" spans="2:6" x14ac:dyDescent="0.25">
      <c r="B2226" s="18" t="s">
        <v>9</v>
      </c>
      <c r="C2226" s="19">
        <f>40523+(3*365)</f>
        <v>41618</v>
      </c>
      <c r="D2226" s="18" t="s">
        <v>62</v>
      </c>
      <c r="E2226" s="18" t="s">
        <v>66</v>
      </c>
      <c r="F2226" s="21">
        <v>720</v>
      </c>
    </row>
    <row r="2227" spans="2:6" x14ac:dyDescent="0.25">
      <c r="B2227" s="18" t="s">
        <v>9</v>
      </c>
      <c r="C2227" s="19">
        <f>41049+(3*365)</f>
        <v>42144</v>
      </c>
      <c r="D2227" s="18" t="s">
        <v>80</v>
      </c>
      <c r="E2227" s="18" t="s">
        <v>75</v>
      </c>
      <c r="F2227" s="21">
        <v>238</v>
      </c>
    </row>
    <row r="2228" spans="2:6" x14ac:dyDescent="0.25">
      <c r="B2228" s="18" t="s">
        <v>31</v>
      </c>
      <c r="C2228" s="19">
        <f>40686+(3*365)</f>
        <v>41781</v>
      </c>
      <c r="D2228" s="18" t="s">
        <v>76</v>
      </c>
      <c r="E2228" s="18" t="s">
        <v>66</v>
      </c>
      <c r="F2228" s="21">
        <v>486</v>
      </c>
    </row>
    <row r="2229" spans="2:6" x14ac:dyDescent="0.25">
      <c r="B2229" s="18" t="s">
        <v>25</v>
      </c>
      <c r="C2229" s="19">
        <f>40699+(3*365)</f>
        <v>41794</v>
      </c>
      <c r="D2229" s="18" t="s">
        <v>79</v>
      </c>
      <c r="E2229" s="18" t="s">
        <v>64</v>
      </c>
      <c r="F2229" s="21">
        <v>11952</v>
      </c>
    </row>
    <row r="2230" spans="2:6" x14ac:dyDescent="0.25">
      <c r="B2230" s="18" t="s">
        <v>31</v>
      </c>
      <c r="C2230" s="19">
        <f>40606+(3*365)</f>
        <v>41701</v>
      </c>
      <c r="D2230" s="18" t="s">
        <v>76</v>
      </c>
      <c r="E2230" s="18" t="s">
        <v>75</v>
      </c>
      <c r="F2230" s="21">
        <v>273</v>
      </c>
    </row>
    <row r="2231" spans="2:6" x14ac:dyDescent="0.25">
      <c r="B2231" s="18" t="s">
        <v>9</v>
      </c>
      <c r="C2231" s="19">
        <f>40505+(3*365)</f>
        <v>41600</v>
      </c>
      <c r="D2231" s="18" t="s">
        <v>62</v>
      </c>
      <c r="E2231" s="18" t="s">
        <v>66</v>
      </c>
      <c r="F2231" s="21">
        <v>328</v>
      </c>
    </row>
    <row r="2232" spans="2:6" x14ac:dyDescent="0.25">
      <c r="B2232" s="18" t="s">
        <v>9</v>
      </c>
      <c r="C2232" s="19">
        <f>39863+(3*365)</f>
        <v>40958</v>
      </c>
      <c r="D2232" s="18" t="s">
        <v>80</v>
      </c>
      <c r="E2232" s="18" t="s">
        <v>66</v>
      </c>
      <c r="F2232" s="21">
        <v>168</v>
      </c>
    </row>
    <row r="2233" spans="2:6" x14ac:dyDescent="0.25">
      <c r="B2233" s="18" t="s">
        <v>10</v>
      </c>
      <c r="C2233" s="19">
        <f>40780+(3*365)</f>
        <v>41875</v>
      </c>
      <c r="D2233" s="18" t="s">
        <v>65</v>
      </c>
      <c r="E2233" s="18" t="s">
        <v>59</v>
      </c>
      <c r="F2233" s="21">
        <v>372</v>
      </c>
    </row>
    <row r="2234" spans="2:6" x14ac:dyDescent="0.25">
      <c r="B2234" s="18" t="s">
        <v>31</v>
      </c>
      <c r="C2234" s="19">
        <f>40831+(3*365)</f>
        <v>41926</v>
      </c>
      <c r="D2234" s="18" t="s">
        <v>76</v>
      </c>
      <c r="E2234" s="18" t="s">
        <v>63</v>
      </c>
      <c r="F2234" s="21">
        <v>378</v>
      </c>
    </row>
    <row r="2235" spans="2:6" x14ac:dyDescent="0.25">
      <c r="B2235" s="18" t="s">
        <v>8</v>
      </c>
      <c r="C2235" s="19">
        <f>41017+(3*365)</f>
        <v>42112</v>
      </c>
      <c r="D2235" s="18" t="s">
        <v>81</v>
      </c>
      <c r="E2235" s="18" t="s">
        <v>63</v>
      </c>
      <c r="F2235" s="21">
        <v>612</v>
      </c>
    </row>
    <row r="2236" spans="2:6" x14ac:dyDescent="0.25">
      <c r="B2236" s="18" t="s">
        <v>9</v>
      </c>
      <c r="C2236" s="19">
        <f>40850+(3*365)</f>
        <v>41945</v>
      </c>
      <c r="D2236" s="18" t="s">
        <v>80</v>
      </c>
      <c r="E2236" s="18" t="s">
        <v>64</v>
      </c>
      <c r="F2236" s="21">
        <v>5346</v>
      </c>
    </row>
    <row r="2237" spans="2:6" x14ac:dyDescent="0.25">
      <c r="B2237" s="18" t="s">
        <v>10</v>
      </c>
      <c r="C2237" s="19">
        <f>41199+(3*365)</f>
        <v>42294</v>
      </c>
      <c r="D2237" s="18" t="s">
        <v>67</v>
      </c>
      <c r="E2237" s="18" t="s">
        <v>69</v>
      </c>
      <c r="F2237" s="21">
        <v>348</v>
      </c>
    </row>
    <row r="2238" spans="2:6" x14ac:dyDescent="0.25">
      <c r="B2238" s="18" t="s">
        <v>31</v>
      </c>
      <c r="C2238" s="19">
        <f>39959+(3*365)</f>
        <v>41054</v>
      </c>
      <c r="D2238" s="18" t="s">
        <v>70</v>
      </c>
      <c r="E2238" s="18" t="s">
        <v>63</v>
      </c>
      <c r="F2238" s="21">
        <v>1392</v>
      </c>
    </row>
    <row r="2239" spans="2:6" x14ac:dyDescent="0.25">
      <c r="B2239" s="18" t="s">
        <v>9</v>
      </c>
      <c r="C2239" s="19">
        <f>40504+(3*365)</f>
        <v>41599</v>
      </c>
      <c r="D2239" s="18" t="s">
        <v>80</v>
      </c>
      <c r="E2239" s="18" t="s">
        <v>75</v>
      </c>
      <c r="F2239" s="21">
        <v>272</v>
      </c>
    </row>
    <row r="2240" spans="2:6" x14ac:dyDescent="0.25">
      <c r="B2240" s="18" t="s">
        <v>18</v>
      </c>
      <c r="C2240" s="19">
        <f>41195+(3*365)</f>
        <v>42290</v>
      </c>
      <c r="D2240" s="18" t="s">
        <v>68</v>
      </c>
      <c r="E2240" s="18" t="s">
        <v>59</v>
      </c>
      <c r="F2240" s="21">
        <v>288</v>
      </c>
    </row>
    <row r="2241" spans="2:6" x14ac:dyDescent="0.25">
      <c r="B2241" s="18" t="s">
        <v>18</v>
      </c>
      <c r="C2241" s="19">
        <f>40140+(3*365)</f>
        <v>41235</v>
      </c>
      <c r="D2241" s="18" t="s">
        <v>71</v>
      </c>
      <c r="E2241" s="18" t="s">
        <v>59</v>
      </c>
      <c r="F2241" s="21">
        <v>450</v>
      </c>
    </row>
    <row r="2242" spans="2:6" x14ac:dyDescent="0.25">
      <c r="B2242" s="18" t="s">
        <v>18</v>
      </c>
      <c r="C2242" s="19">
        <f>40379+(3*365)</f>
        <v>41474</v>
      </c>
      <c r="D2242" s="18" t="s">
        <v>68</v>
      </c>
      <c r="E2242" s="18" t="s">
        <v>75</v>
      </c>
      <c r="F2242" s="21">
        <v>702</v>
      </c>
    </row>
    <row r="2243" spans="2:6" x14ac:dyDescent="0.25">
      <c r="B2243" s="18" t="s">
        <v>10</v>
      </c>
      <c r="C2243" s="19">
        <f>40777+(3*365)</f>
        <v>41872</v>
      </c>
      <c r="D2243" s="18" t="s">
        <v>65</v>
      </c>
      <c r="E2243" s="18" t="s">
        <v>63</v>
      </c>
      <c r="F2243" s="21">
        <v>336</v>
      </c>
    </row>
    <row r="2244" spans="2:6" x14ac:dyDescent="0.25">
      <c r="B2244" s="18" t="s">
        <v>9</v>
      </c>
      <c r="C2244" s="19">
        <f>40244+(3*365)</f>
        <v>41339</v>
      </c>
      <c r="D2244" s="18" t="s">
        <v>80</v>
      </c>
      <c r="E2244" s="18" t="s">
        <v>69</v>
      </c>
      <c r="F2244" s="21">
        <v>3104</v>
      </c>
    </row>
    <row r="2245" spans="2:6" x14ac:dyDescent="0.25">
      <c r="B2245" s="18" t="s">
        <v>18</v>
      </c>
      <c r="C2245" s="19">
        <f>39918+(3*365)</f>
        <v>41013</v>
      </c>
      <c r="D2245" s="18" t="s">
        <v>68</v>
      </c>
      <c r="E2245" s="18" t="s">
        <v>63</v>
      </c>
      <c r="F2245" s="21">
        <v>78</v>
      </c>
    </row>
    <row r="2246" spans="2:6" x14ac:dyDescent="0.25">
      <c r="B2246" s="18" t="s">
        <v>18</v>
      </c>
      <c r="C2246" s="19">
        <f>41256+(3*365)</f>
        <v>42351</v>
      </c>
      <c r="D2246" s="18" t="s">
        <v>71</v>
      </c>
      <c r="E2246" s="18" t="s">
        <v>61</v>
      </c>
      <c r="F2246" s="21">
        <v>1620</v>
      </c>
    </row>
    <row r="2247" spans="2:6" x14ac:dyDescent="0.25">
      <c r="B2247" s="18" t="s">
        <v>9</v>
      </c>
      <c r="C2247" s="19">
        <f>40451+(3*365)</f>
        <v>41546</v>
      </c>
      <c r="D2247" s="18" t="s">
        <v>80</v>
      </c>
      <c r="E2247" s="18" t="s">
        <v>72</v>
      </c>
      <c r="F2247" s="21">
        <v>2280</v>
      </c>
    </row>
    <row r="2248" spans="2:6" x14ac:dyDescent="0.25">
      <c r="B2248" s="18" t="s">
        <v>8</v>
      </c>
      <c r="C2248" s="19">
        <f>41114+(3*365)</f>
        <v>42209</v>
      </c>
      <c r="D2248" s="18" t="s">
        <v>81</v>
      </c>
      <c r="E2248" s="18" t="s">
        <v>61</v>
      </c>
      <c r="F2248" s="21">
        <v>1100</v>
      </c>
    </row>
    <row r="2249" spans="2:6" x14ac:dyDescent="0.25">
      <c r="B2249" s="18" t="s">
        <v>25</v>
      </c>
      <c r="C2249" s="19">
        <f>40176+(3*365)</f>
        <v>41271</v>
      </c>
      <c r="D2249" s="18" t="s">
        <v>79</v>
      </c>
      <c r="E2249" s="18" t="s">
        <v>75</v>
      </c>
      <c r="F2249" s="21">
        <v>90</v>
      </c>
    </row>
    <row r="2250" spans="2:6" x14ac:dyDescent="0.25">
      <c r="B2250" s="18" t="s">
        <v>8</v>
      </c>
      <c r="C2250" s="19">
        <f>40206+(3*365)</f>
        <v>41301</v>
      </c>
      <c r="D2250" s="18" t="s">
        <v>81</v>
      </c>
      <c r="E2250" s="18" t="s">
        <v>59</v>
      </c>
      <c r="F2250" s="21">
        <v>368</v>
      </c>
    </row>
    <row r="2251" spans="2:6" x14ac:dyDescent="0.25">
      <c r="B2251" s="18" t="s">
        <v>11</v>
      </c>
      <c r="C2251" s="19">
        <f>40185+(3*365)</f>
        <v>41280</v>
      </c>
      <c r="D2251" s="18" t="s">
        <v>74</v>
      </c>
      <c r="E2251" s="18" t="s">
        <v>63</v>
      </c>
      <c r="F2251" s="21">
        <v>99</v>
      </c>
    </row>
    <row r="2252" spans="2:6" x14ac:dyDescent="0.25">
      <c r="B2252" s="18" t="s">
        <v>18</v>
      </c>
      <c r="C2252" s="19">
        <f>40018+(3*365)</f>
        <v>41113</v>
      </c>
      <c r="D2252" s="18" t="s">
        <v>71</v>
      </c>
      <c r="E2252" s="18" t="s">
        <v>64</v>
      </c>
      <c r="F2252" s="21">
        <v>1704</v>
      </c>
    </row>
    <row r="2253" spans="2:6" x14ac:dyDescent="0.25">
      <c r="B2253" s="18" t="s">
        <v>8</v>
      </c>
      <c r="C2253" s="19">
        <f>39924+(3*365)</f>
        <v>41019</v>
      </c>
      <c r="D2253" s="18" t="s">
        <v>81</v>
      </c>
      <c r="E2253" s="18" t="s">
        <v>72</v>
      </c>
      <c r="F2253" s="21">
        <v>945</v>
      </c>
    </row>
    <row r="2254" spans="2:6" x14ac:dyDescent="0.25">
      <c r="B2254" s="18" t="s">
        <v>9</v>
      </c>
      <c r="C2254" s="19">
        <f>40637+(3*365)</f>
        <v>41732</v>
      </c>
      <c r="D2254" s="18" t="s">
        <v>62</v>
      </c>
      <c r="E2254" s="18" t="s">
        <v>61</v>
      </c>
      <c r="F2254" s="21">
        <v>78</v>
      </c>
    </row>
    <row r="2255" spans="2:6" x14ac:dyDescent="0.25">
      <c r="B2255" s="18" t="s">
        <v>9</v>
      </c>
      <c r="C2255" s="19">
        <f>39913+(3*365)</f>
        <v>41008</v>
      </c>
      <c r="D2255" s="18" t="s">
        <v>80</v>
      </c>
      <c r="E2255" s="18" t="s">
        <v>63</v>
      </c>
      <c r="F2255" s="21">
        <v>378</v>
      </c>
    </row>
    <row r="2256" spans="2:6" x14ac:dyDescent="0.25">
      <c r="B2256" s="18" t="s">
        <v>10</v>
      </c>
      <c r="C2256" s="19">
        <f>40192+(3*365)</f>
        <v>41287</v>
      </c>
      <c r="D2256" s="18" t="s">
        <v>67</v>
      </c>
      <c r="E2256" s="18" t="s">
        <v>72</v>
      </c>
      <c r="F2256" s="21">
        <v>576</v>
      </c>
    </row>
    <row r="2257" spans="2:6" x14ac:dyDescent="0.25">
      <c r="B2257" s="18" t="s">
        <v>10</v>
      </c>
      <c r="C2257" s="19">
        <f>40226+(3*365)</f>
        <v>41321</v>
      </c>
      <c r="D2257" s="18" t="s">
        <v>65</v>
      </c>
      <c r="E2257" s="18" t="s">
        <v>75</v>
      </c>
      <c r="F2257" s="21">
        <v>720</v>
      </c>
    </row>
    <row r="2258" spans="2:6" x14ac:dyDescent="0.25">
      <c r="B2258" s="18" t="s">
        <v>8</v>
      </c>
      <c r="C2258" s="19">
        <f>40467+(3*365)</f>
        <v>41562</v>
      </c>
      <c r="D2258" s="18" t="s">
        <v>77</v>
      </c>
      <c r="E2258" s="18" t="s">
        <v>61</v>
      </c>
      <c r="F2258" s="21">
        <v>1216</v>
      </c>
    </row>
    <row r="2259" spans="2:6" x14ac:dyDescent="0.25">
      <c r="B2259" s="18" t="s">
        <v>31</v>
      </c>
      <c r="C2259" s="19">
        <f>40943+(3*365)</f>
        <v>42038</v>
      </c>
      <c r="D2259" s="18" t="s">
        <v>70</v>
      </c>
      <c r="E2259" s="18" t="s">
        <v>59</v>
      </c>
      <c r="F2259" s="21">
        <v>198</v>
      </c>
    </row>
    <row r="2260" spans="2:6" x14ac:dyDescent="0.25">
      <c r="B2260" s="18" t="s">
        <v>18</v>
      </c>
      <c r="C2260" s="19">
        <f>39944+(3*365)</f>
        <v>41039</v>
      </c>
      <c r="D2260" s="18" t="s">
        <v>71</v>
      </c>
      <c r="E2260" s="18" t="s">
        <v>75</v>
      </c>
      <c r="F2260" s="21">
        <v>518</v>
      </c>
    </row>
    <row r="2261" spans="2:6" x14ac:dyDescent="0.25">
      <c r="B2261" s="18" t="s">
        <v>8</v>
      </c>
      <c r="C2261" s="19">
        <f>41131+(3*365)</f>
        <v>42226</v>
      </c>
      <c r="D2261" s="18" t="s">
        <v>77</v>
      </c>
      <c r="E2261" s="18" t="s">
        <v>66</v>
      </c>
      <c r="F2261" s="21">
        <v>1764</v>
      </c>
    </row>
    <row r="2262" spans="2:6" x14ac:dyDescent="0.25">
      <c r="B2262" s="18" t="s">
        <v>21</v>
      </c>
      <c r="C2262" s="19">
        <f>40993+(3*365)</f>
        <v>42088</v>
      </c>
      <c r="D2262" s="18" t="s">
        <v>58</v>
      </c>
      <c r="E2262" s="18" t="s">
        <v>64</v>
      </c>
      <c r="F2262" s="21">
        <v>8568</v>
      </c>
    </row>
    <row r="2263" spans="2:6" x14ac:dyDescent="0.25">
      <c r="B2263" s="18" t="s">
        <v>25</v>
      </c>
      <c r="C2263" s="19">
        <f>40494+(3*365)</f>
        <v>41589</v>
      </c>
      <c r="D2263" s="18" t="s">
        <v>78</v>
      </c>
      <c r="E2263" s="18" t="s">
        <v>64</v>
      </c>
      <c r="F2263" s="21">
        <v>3702</v>
      </c>
    </row>
    <row r="2264" spans="2:6" x14ac:dyDescent="0.25">
      <c r="B2264" s="18" t="s">
        <v>18</v>
      </c>
      <c r="C2264" s="19">
        <f>40263+(3*365)</f>
        <v>41358</v>
      </c>
      <c r="D2264" s="18" t="s">
        <v>68</v>
      </c>
      <c r="E2264" s="18" t="s">
        <v>75</v>
      </c>
      <c r="F2264" s="21">
        <v>117</v>
      </c>
    </row>
    <row r="2265" spans="2:6" x14ac:dyDescent="0.25">
      <c r="B2265" s="18" t="s">
        <v>31</v>
      </c>
      <c r="C2265" s="19">
        <f>40922+(3*365)</f>
        <v>42017</v>
      </c>
      <c r="D2265" s="18" t="s">
        <v>76</v>
      </c>
      <c r="E2265" s="18" t="s">
        <v>72</v>
      </c>
      <c r="F2265" s="21">
        <v>132</v>
      </c>
    </row>
    <row r="2266" spans="2:6" x14ac:dyDescent="0.25">
      <c r="B2266" s="18" t="s">
        <v>18</v>
      </c>
      <c r="C2266" s="19">
        <f>40644+(3*365)</f>
        <v>41739</v>
      </c>
      <c r="D2266" s="18" t="s">
        <v>71</v>
      </c>
      <c r="E2266" s="18" t="s">
        <v>66</v>
      </c>
      <c r="F2266" s="21">
        <v>3204</v>
      </c>
    </row>
    <row r="2267" spans="2:6" x14ac:dyDescent="0.25">
      <c r="B2267" s="18" t="s">
        <v>25</v>
      </c>
      <c r="C2267" s="19">
        <f>41083+(3*365)</f>
        <v>42178</v>
      </c>
      <c r="D2267" s="18" t="s">
        <v>79</v>
      </c>
      <c r="E2267" s="18" t="s">
        <v>64</v>
      </c>
      <c r="F2267" s="21">
        <v>2610</v>
      </c>
    </row>
    <row r="2268" spans="2:6" x14ac:dyDescent="0.25">
      <c r="B2268" s="18" t="s">
        <v>10</v>
      </c>
      <c r="C2268" s="19">
        <f>40254+(3*365)</f>
        <v>41349</v>
      </c>
      <c r="D2268" s="18" t="s">
        <v>67</v>
      </c>
      <c r="E2268" s="18" t="s">
        <v>75</v>
      </c>
      <c r="F2268" s="21">
        <v>99</v>
      </c>
    </row>
    <row r="2269" spans="2:6" x14ac:dyDescent="0.25">
      <c r="B2269" s="18" t="s">
        <v>31</v>
      </c>
      <c r="C2269" s="19">
        <f>40882+(3*365)</f>
        <v>41977</v>
      </c>
      <c r="D2269" s="18" t="s">
        <v>70</v>
      </c>
      <c r="E2269" s="18" t="s">
        <v>69</v>
      </c>
      <c r="F2269" s="21">
        <v>1035</v>
      </c>
    </row>
    <row r="2270" spans="2:6" x14ac:dyDescent="0.25">
      <c r="B2270" s="18" t="s">
        <v>21</v>
      </c>
      <c r="C2270" s="19">
        <f>41211+(3*365)</f>
        <v>42306</v>
      </c>
      <c r="D2270" s="18" t="s">
        <v>58</v>
      </c>
      <c r="E2270" s="18" t="s">
        <v>63</v>
      </c>
      <c r="F2270" s="21">
        <v>944</v>
      </c>
    </row>
    <row r="2271" spans="2:6" x14ac:dyDescent="0.25">
      <c r="B2271" s="18" t="s">
        <v>8</v>
      </c>
      <c r="C2271" s="19">
        <f>40141+(3*365)</f>
        <v>41236</v>
      </c>
      <c r="D2271" s="18" t="s">
        <v>81</v>
      </c>
      <c r="E2271" s="18" t="s">
        <v>69</v>
      </c>
      <c r="F2271" s="21">
        <v>2970</v>
      </c>
    </row>
    <row r="2272" spans="2:6" x14ac:dyDescent="0.25">
      <c r="B2272" s="18" t="s">
        <v>18</v>
      </c>
      <c r="C2272" s="19">
        <f>40888+(3*365)</f>
        <v>41983</v>
      </c>
      <c r="D2272" s="18" t="s">
        <v>71</v>
      </c>
      <c r="E2272" s="18" t="s">
        <v>66</v>
      </c>
      <c r="F2272" s="21">
        <v>1660</v>
      </c>
    </row>
    <row r="2273" spans="2:6" x14ac:dyDescent="0.25">
      <c r="B2273" s="18" t="s">
        <v>9</v>
      </c>
      <c r="C2273" s="19">
        <f>40519+(3*365)</f>
        <v>41614</v>
      </c>
      <c r="D2273" s="18" t="s">
        <v>80</v>
      </c>
      <c r="E2273" s="18" t="s">
        <v>69</v>
      </c>
      <c r="F2273" s="21">
        <v>308</v>
      </c>
    </row>
    <row r="2274" spans="2:6" x14ac:dyDescent="0.25">
      <c r="B2274" s="18" t="s">
        <v>18</v>
      </c>
      <c r="C2274" s="19">
        <f>40386+(3*365)</f>
        <v>41481</v>
      </c>
      <c r="D2274" s="18" t="s">
        <v>68</v>
      </c>
      <c r="E2274" s="18" t="s">
        <v>63</v>
      </c>
      <c r="F2274" s="21">
        <v>525</v>
      </c>
    </row>
    <row r="2275" spans="2:6" x14ac:dyDescent="0.25">
      <c r="B2275" s="18" t="s">
        <v>11</v>
      </c>
      <c r="C2275" s="19">
        <f>40317+(3*365)</f>
        <v>41412</v>
      </c>
      <c r="D2275" s="18" t="s">
        <v>60</v>
      </c>
      <c r="E2275" s="18" t="s">
        <v>59</v>
      </c>
      <c r="F2275" s="21">
        <v>513</v>
      </c>
    </row>
    <row r="2276" spans="2:6" x14ac:dyDescent="0.25">
      <c r="B2276" s="18" t="s">
        <v>18</v>
      </c>
      <c r="C2276" s="19">
        <f>40052+(3*365)</f>
        <v>41147</v>
      </c>
      <c r="D2276" s="18" t="s">
        <v>68</v>
      </c>
      <c r="E2276" s="18" t="s">
        <v>61</v>
      </c>
      <c r="F2276" s="21">
        <v>208</v>
      </c>
    </row>
    <row r="2277" spans="2:6" x14ac:dyDescent="0.25">
      <c r="B2277" s="18" t="s">
        <v>10</v>
      </c>
      <c r="C2277" s="19">
        <f>41003+(3*365)</f>
        <v>42098</v>
      </c>
      <c r="D2277" s="18" t="s">
        <v>67</v>
      </c>
      <c r="E2277" s="18" t="s">
        <v>61</v>
      </c>
      <c r="F2277" s="21">
        <v>1872</v>
      </c>
    </row>
    <row r="2278" spans="2:6" x14ac:dyDescent="0.25">
      <c r="B2278" s="18" t="s">
        <v>18</v>
      </c>
      <c r="C2278" s="19">
        <f>39937+(3*365)</f>
        <v>41032</v>
      </c>
      <c r="D2278" s="18" t="s">
        <v>68</v>
      </c>
      <c r="E2278" s="18" t="s">
        <v>66</v>
      </c>
      <c r="F2278" s="21">
        <v>306</v>
      </c>
    </row>
    <row r="2279" spans="2:6" x14ac:dyDescent="0.25">
      <c r="B2279" s="18" t="s">
        <v>25</v>
      </c>
      <c r="C2279" s="19">
        <f>40891+(3*365)</f>
        <v>41986</v>
      </c>
      <c r="D2279" s="18" t="s">
        <v>78</v>
      </c>
      <c r="E2279" s="18" t="s">
        <v>59</v>
      </c>
      <c r="F2279" s="21">
        <v>612</v>
      </c>
    </row>
    <row r="2280" spans="2:6" x14ac:dyDescent="0.25">
      <c r="B2280" s="18" t="s">
        <v>10</v>
      </c>
      <c r="C2280" s="19">
        <f>41128+(3*365)</f>
        <v>42223</v>
      </c>
      <c r="D2280" s="18" t="s">
        <v>67</v>
      </c>
      <c r="E2280" s="18" t="s">
        <v>66</v>
      </c>
      <c r="F2280" s="21">
        <v>1836</v>
      </c>
    </row>
    <row r="2281" spans="2:6" x14ac:dyDescent="0.25">
      <c r="B2281" s="18" t="s">
        <v>8</v>
      </c>
      <c r="C2281" s="19">
        <f>40823+(3*365)</f>
        <v>41918</v>
      </c>
      <c r="D2281" s="18" t="s">
        <v>77</v>
      </c>
      <c r="E2281" s="18" t="s">
        <v>64</v>
      </c>
      <c r="F2281" s="21">
        <v>14928</v>
      </c>
    </row>
    <row r="2282" spans="2:6" x14ac:dyDescent="0.25">
      <c r="B2282" s="18" t="s">
        <v>25</v>
      </c>
      <c r="C2282" s="19">
        <f>40858+(3*365)</f>
        <v>41953</v>
      </c>
      <c r="D2282" s="18" t="s">
        <v>78</v>
      </c>
      <c r="E2282" s="18" t="s">
        <v>63</v>
      </c>
      <c r="F2282" s="21">
        <v>728</v>
      </c>
    </row>
    <row r="2283" spans="2:6" x14ac:dyDescent="0.25">
      <c r="B2283" s="18" t="s">
        <v>21</v>
      </c>
      <c r="C2283" s="19">
        <f>40870+(3*365)</f>
        <v>41965</v>
      </c>
      <c r="D2283" s="18" t="s">
        <v>73</v>
      </c>
      <c r="E2283" s="18" t="s">
        <v>64</v>
      </c>
      <c r="F2283" s="21">
        <v>1698</v>
      </c>
    </row>
    <row r="2284" spans="2:6" x14ac:dyDescent="0.25">
      <c r="B2284" s="18" t="s">
        <v>31</v>
      </c>
      <c r="C2284" s="19">
        <f>41140+(3*365)</f>
        <v>42235</v>
      </c>
      <c r="D2284" s="18" t="s">
        <v>70</v>
      </c>
      <c r="E2284" s="18" t="s">
        <v>66</v>
      </c>
      <c r="F2284" s="21">
        <v>624</v>
      </c>
    </row>
    <row r="2285" spans="2:6" x14ac:dyDescent="0.25">
      <c r="B2285" s="18" t="s">
        <v>10</v>
      </c>
      <c r="C2285" s="19">
        <f>40156+(3*365)</f>
        <v>41251</v>
      </c>
      <c r="D2285" s="18" t="s">
        <v>67</v>
      </c>
      <c r="E2285" s="18" t="s">
        <v>64</v>
      </c>
      <c r="F2285" s="21">
        <v>23400</v>
      </c>
    </row>
    <row r="2286" spans="2:6" x14ac:dyDescent="0.25">
      <c r="B2286" s="18" t="s">
        <v>8</v>
      </c>
      <c r="C2286" s="19">
        <f>39934+(3*365)</f>
        <v>41029</v>
      </c>
      <c r="D2286" s="18" t="s">
        <v>81</v>
      </c>
      <c r="E2286" s="18" t="s">
        <v>75</v>
      </c>
      <c r="F2286" s="21">
        <v>162</v>
      </c>
    </row>
    <row r="2287" spans="2:6" x14ac:dyDescent="0.25">
      <c r="B2287" s="18" t="s">
        <v>8</v>
      </c>
      <c r="C2287" s="19">
        <f>39931+(3*365)</f>
        <v>41026</v>
      </c>
      <c r="D2287" s="18" t="s">
        <v>81</v>
      </c>
      <c r="E2287" s="18" t="s">
        <v>66</v>
      </c>
      <c r="F2287" s="21">
        <v>324</v>
      </c>
    </row>
    <row r="2288" spans="2:6" x14ac:dyDescent="0.25">
      <c r="B2288" s="18" t="s">
        <v>9</v>
      </c>
      <c r="C2288" s="19">
        <f>41194+(3*365)</f>
        <v>42289</v>
      </c>
      <c r="D2288" s="18" t="s">
        <v>80</v>
      </c>
      <c r="E2288" s="18" t="s">
        <v>63</v>
      </c>
      <c r="F2288" s="21">
        <v>448</v>
      </c>
    </row>
    <row r="2289" spans="2:6" x14ac:dyDescent="0.25">
      <c r="B2289" s="18" t="s">
        <v>18</v>
      </c>
      <c r="C2289" s="19">
        <f>41187+(3*365)</f>
        <v>42282</v>
      </c>
      <c r="D2289" s="18" t="s">
        <v>71</v>
      </c>
      <c r="E2289" s="18" t="s">
        <v>61</v>
      </c>
      <c r="F2289" s="21">
        <v>156</v>
      </c>
    </row>
    <row r="2290" spans="2:6" x14ac:dyDescent="0.25">
      <c r="B2290" s="18" t="s">
        <v>31</v>
      </c>
      <c r="C2290" s="19">
        <f>40947+(3*365)</f>
        <v>42042</v>
      </c>
      <c r="D2290" s="18" t="s">
        <v>70</v>
      </c>
      <c r="E2290" s="18" t="s">
        <v>64</v>
      </c>
      <c r="F2290" s="21">
        <v>11952</v>
      </c>
    </row>
    <row r="2291" spans="2:6" x14ac:dyDescent="0.25">
      <c r="B2291" s="18" t="s">
        <v>21</v>
      </c>
      <c r="C2291" s="19">
        <f>40687+(3*365)</f>
        <v>41782</v>
      </c>
      <c r="D2291" s="18" t="s">
        <v>58</v>
      </c>
      <c r="E2291" s="18" t="s">
        <v>63</v>
      </c>
      <c r="F2291" s="21">
        <v>720</v>
      </c>
    </row>
    <row r="2292" spans="2:6" x14ac:dyDescent="0.25">
      <c r="B2292" s="18" t="s">
        <v>10</v>
      </c>
      <c r="C2292" s="19">
        <f>41248+(3*365)</f>
        <v>42343</v>
      </c>
      <c r="D2292" s="18" t="s">
        <v>65</v>
      </c>
      <c r="E2292" s="18" t="s">
        <v>64</v>
      </c>
      <c r="F2292" s="21">
        <v>3636</v>
      </c>
    </row>
    <row r="2293" spans="2:6" x14ac:dyDescent="0.25">
      <c r="B2293" s="18" t="s">
        <v>25</v>
      </c>
      <c r="C2293" s="19">
        <f>40700+(3*365)</f>
        <v>41795</v>
      </c>
      <c r="D2293" s="18" t="s">
        <v>79</v>
      </c>
      <c r="E2293" s="18" t="s">
        <v>59</v>
      </c>
      <c r="F2293" s="21">
        <v>408</v>
      </c>
    </row>
    <row r="2294" spans="2:6" x14ac:dyDescent="0.25">
      <c r="B2294" s="18" t="s">
        <v>31</v>
      </c>
      <c r="C2294" s="19">
        <f>40666+(3*365)</f>
        <v>41761</v>
      </c>
      <c r="D2294" s="18" t="s">
        <v>76</v>
      </c>
      <c r="E2294" s="18" t="s">
        <v>69</v>
      </c>
      <c r="F2294" s="21">
        <v>2472</v>
      </c>
    </row>
    <row r="2295" spans="2:6" x14ac:dyDescent="0.25">
      <c r="B2295" s="18" t="s">
        <v>18</v>
      </c>
      <c r="C2295" s="19">
        <f>40948+(3*365)</f>
        <v>42043</v>
      </c>
      <c r="D2295" s="18" t="s">
        <v>71</v>
      </c>
      <c r="E2295" s="18" t="s">
        <v>66</v>
      </c>
      <c r="F2295" s="21">
        <v>1020</v>
      </c>
    </row>
    <row r="2296" spans="2:6" x14ac:dyDescent="0.25">
      <c r="B2296" s="18" t="s">
        <v>8</v>
      </c>
      <c r="C2296" s="19">
        <f>39981+(3*365)</f>
        <v>41076</v>
      </c>
      <c r="D2296" s="18" t="s">
        <v>81</v>
      </c>
      <c r="E2296" s="18" t="s">
        <v>75</v>
      </c>
      <c r="F2296" s="21">
        <v>918</v>
      </c>
    </row>
    <row r="2297" spans="2:6" x14ac:dyDescent="0.25">
      <c r="B2297" s="18" t="s">
        <v>9</v>
      </c>
      <c r="C2297" s="19">
        <f>40827+(3*365)</f>
        <v>41922</v>
      </c>
      <c r="D2297" s="18" t="s">
        <v>80</v>
      </c>
      <c r="E2297" s="18" t="s">
        <v>59</v>
      </c>
      <c r="F2297" s="21">
        <v>207</v>
      </c>
    </row>
    <row r="2298" spans="2:6" x14ac:dyDescent="0.25">
      <c r="B2298" s="18" t="s">
        <v>9</v>
      </c>
      <c r="C2298" s="19">
        <f>40146+(3*365)</f>
        <v>41241</v>
      </c>
      <c r="D2298" s="18" t="s">
        <v>62</v>
      </c>
      <c r="E2298" s="18" t="s">
        <v>69</v>
      </c>
      <c r="F2298" s="21">
        <v>1652</v>
      </c>
    </row>
    <row r="2299" spans="2:6" x14ac:dyDescent="0.25">
      <c r="B2299" s="18" t="s">
        <v>18</v>
      </c>
      <c r="C2299" s="19">
        <f>40580+(3*365)</f>
        <v>41675</v>
      </c>
      <c r="D2299" s="18" t="s">
        <v>71</v>
      </c>
      <c r="E2299" s="18" t="s">
        <v>66</v>
      </c>
      <c r="F2299" s="21">
        <v>732</v>
      </c>
    </row>
    <row r="2300" spans="2:6" x14ac:dyDescent="0.25">
      <c r="B2300" s="18" t="s">
        <v>31</v>
      </c>
      <c r="C2300" s="19">
        <f>40877+(3*365)</f>
        <v>41972</v>
      </c>
      <c r="D2300" s="18" t="s">
        <v>70</v>
      </c>
      <c r="E2300" s="18" t="s">
        <v>69</v>
      </c>
      <c r="F2300" s="21">
        <v>1656</v>
      </c>
    </row>
    <row r="2301" spans="2:6" x14ac:dyDescent="0.25">
      <c r="B2301" s="18" t="s">
        <v>25</v>
      </c>
      <c r="C2301" s="19">
        <f>40956+(3*365)</f>
        <v>42051</v>
      </c>
      <c r="D2301" s="18" t="s">
        <v>78</v>
      </c>
      <c r="E2301" s="18" t="s">
        <v>72</v>
      </c>
      <c r="F2301" s="21">
        <v>3136</v>
      </c>
    </row>
    <row r="2302" spans="2:6" x14ac:dyDescent="0.25">
      <c r="B2302" s="18" t="s">
        <v>9</v>
      </c>
      <c r="C2302" s="19">
        <f>40063+(3*365)</f>
        <v>41158</v>
      </c>
      <c r="D2302" s="18" t="s">
        <v>80</v>
      </c>
      <c r="E2302" s="18" t="s">
        <v>61</v>
      </c>
      <c r="F2302" s="21">
        <v>944</v>
      </c>
    </row>
    <row r="2303" spans="2:6" x14ac:dyDescent="0.25">
      <c r="B2303" s="18" t="s">
        <v>11</v>
      </c>
      <c r="C2303" s="19">
        <f>39842+(3*365)</f>
        <v>40937</v>
      </c>
      <c r="D2303" s="18" t="s">
        <v>60</v>
      </c>
      <c r="E2303" s="18" t="s">
        <v>75</v>
      </c>
      <c r="F2303" s="21">
        <v>126</v>
      </c>
    </row>
    <row r="2304" spans="2:6" x14ac:dyDescent="0.25">
      <c r="B2304" s="18" t="s">
        <v>18</v>
      </c>
      <c r="C2304" s="19">
        <f>40516+(3*365)</f>
        <v>41611</v>
      </c>
      <c r="D2304" s="18" t="s">
        <v>68</v>
      </c>
      <c r="E2304" s="18" t="s">
        <v>75</v>
      </c>
      <c r="F2304" s="21">
        <v>117</v>
      </c>
    </row>
    <row r="2305" spans="2:6" x14ac:dyDescent="0.25">
      <c r="B2305" s="18" t="s">
        <v>11</v>
      </c>
      <c r="C2305" s="19">
        <f>39871+(3*365)</f>
        <v>40966</v>
      </c>
      <c r="D2305" s="18" t="s">
        <v>60</v>
      </c>
      <c r="E2305" s="18" t="s">
        <v>66</v>
      </c>
      <c r="F2305" s="21">
        <v>648</v>
      </c>
    </row>
    <row r="2306" spans="2:6" x14ac:dyDescent="0.25">
      <c r="B2306" s="18" t="s">
        <v>31</v>
      </c>
      <c r="C2306" s="19">
        <f>40399+(3*365)</f>
        <v>41494</v>
      </c>
      <c r="D2306" s="18" t="s">
        <v>70</v>
      </c>
      <c r="E2306" s="18" t="s">
        <v>59</v>
      </c>
      <c r="F2306" s="21">
        <v>198</v>
      </c>
    </row>
    <row r="2307" spans="2:6" x14ac:dyDescent="0.25">
      <c r="B2307" s="18" t="s">
        <v>11</v>
      </c>
      <c r="C2307" s="19">
        <f>41011+(3*365)</f>
        <v>42106</v>
      </c>
      <c r="D2307" s="18" t="s">
        <v>60</v>
      </c>
      <c r="E2307" s="18" t="s">
        <v>64</v>
      </c>
      <c r="F2307" s="21">
        <v>1556</v>
      </c>
    </row>
    <row r="2308" spans="2:6" x14ac:dyDescent="0.25">
      <c r="B2308" s="18" t="s">
        <v>11</v>
      </c>
      <c r="C2308" s="19">
        <f>40478+(3*365)</f>
        <v>41573</v>
      </c>
      <c r="D2308" s="18" t="s">
        <v>60</v>
      </c>
      <c r="E2308" s="18" t="s">
        <v>66</v>
      </c>
      <c r="F2308" s="21">
        <v>972</v>
      </c>
    </row>
    <row r="2309" spans="2:6" x14ac:dyDescent="0.25">
      <c r="B2309" s="18" t="s">
        <v>25</v>
      </c>
      <c r="C2309" s="19">
        <f>41195+(3*365)</f>
        <v>42290</v>
      </c>
      <c r="D2309" s="18" t="s">
        <v>79</v>
      </c>
      <c r="E2309" s="18" t="s">
        <v>59</v>
      </c>
      <c r="F2309" s="21">
        <v>480</v>
      </c>
    </row>
    <row r="2310" spans="2:6" x14ac:dyDescent="0.25">
      <c r="B2310" s="18" t="s">
        <v>18</v>
      </c>
      <c r="C2310" s="19">
        <f>40810+(3*365)</f>
        <v>41905</v>
      </c>
      <c r="D2310" s="18" t="s">
        <v>68</v>
      </c>
      <c r="E2310" s="18" t="s">
        <v>75</v>
      </c>
      <c r="F2310" s="21">
        <v>1224</v>
      </c>
    </row>
    <row r="2311" spans="2:6" x14ac:dyDescent="0.25">
      <c r="B2311" s="18" t="s">
        <v>9</v>
      </c>
      <c r="C2311" s="19">
        <f>40074+(3*365)</f>
        <v>41169</v>
      </c>
      <c r="D2311" s="18" t="s">
        <v>62</v>
      </c>
      <c r="E2311" s="18" t="s">
        <v>63</v>
      </c>
      <c r="F2311" s="21">
        <v>224</v>
      </c>
    </row>
    <row r="2312" spans="2:6" x14ac:dyDescent="0.25">
      <c r="B2312" s="18" t="s">
        <v>9</v>
      </c>
      <c r="C2312" s="19">
        <f>39836+(3*365)</f>
        <v>40931</v>
      </c>
      <c r="D2312" s="18" t="s">
        <v>80</v>
      </c>
      <c r="E2312" s="18" t="s">
        <v>72</v>
      </c>
      <c r="F2312" s="21">
        <v>1340</v>
      </c>
    </row>
    <row r="2313" spans="2:6" x14ac:dyDescent="0.25">
      <c r="B2313" s="18" t="s">
        <v>25</v>
      </c>
      <c r="C2313" s="19">
        <f>40782+(3*365)</f>
        <v>41877</v>
      </c>
      <c r="D2313" s="18" t="s">
        <v>79</v>
      </c>
      <c r="E2313" s="18" t="s">
        <v>75</v>
      </c>
      <c r="F2313" s="21">
        <v>1024</v>
      </c>
    </row>
    <row r="2314" spans="2:6" x14ac:dyDescent="0.25">
      <c r="B2314" s="18" t="s">
        <v>18</v>
      </c>
      <c r="C2314" s="19">
        <f>39996+(3*365)</f>
        <v>41091</v>
      </c>
      <c r="D2314" s="18" t="s">
        <v>71</v>
      </c>
      <c r="E2314" s="18" t="s">
        <v>64</v>
      </c>
      <c r="F2314" s="21">
        <v>1148</v>
      </c>
    </row>
    <row r="2315" spans="2:6" x14ac:dyDescent="0.25">
      <c r="B2315" s="18" t="s">
        <v>10</v>
      </c>
      <c r="C2315" s="19">
        <f>41106+(3*365)</f>
        <v>42201</v>
      </c>
      <c r="D2315" s="18" t="s">
        <v>67</v>
      </c>
      <c r="E2315" s="18" t="s">
        <v>69</v>
      </c>
      <c r="F2315" s="21">
        <v>2304</v>
      </c>
    </row>
    <row r="2316" spans="2:6" x14ac:dyDescent="0.25">
      <c r="B2316" s="18" t="s">
        <v>10</v>
      </c>
      <c r="C2316" s="19">
        <f>40014+(3*365)</f>
        <v>41109</v>
      </c>
      <c r="D2316" s="18" t="s">
        <v>67</v>
      </c>
      <c r="E2316" s="18" t="s">
        <v>61</v>
      </c>
      <c r="F2316" s="21">
        <v>2528</v>
      </c>
    </row>
    <row r="2317" spans="2:6" x14ac:dyDescent="0.25">
      <c r="B2317" s="18" t="s">
        <v>18</v>
      </c>
      <c r="C2317" s="19">
        <f>40629+(3*365)</f>
        <v>41724</v>
      </c>
      <c r="D2317" s="18" t="s">
        <v>71</v>
      </c>
      <c r="E2317" s="18" t="s">
        <v>61</v>
      </c>
      <c r="F2317" s="21">
        <v>992</v>
      </c>
    </row>
    <row r="2318" spans="2:6" x14ac:dyDescent="0.25">
      <c r="B2318" s="18" t="s">
        <v>21</v>
      </c>
      <c r="C2318" s="19">
        <f>40874+(3*365)</f>
        <v>41969</v>
      </c>
      <c r="D2318" s="18" t="s">
        <v>58</v>
      </c>
      <c r="E2318" s="18" t="s">
        <v>64</v>
      </c>
      <c r="F2318" s="21">
        <v>9180</v>
      </c>
    </row>
    <row r="2319" spans="2:6" x14ac:dyDescent="0.25">
      <c r="B2319" s="18" t="s">
        <v>31</v>
      </c>
      <c r="C2319" s="19">
        <f>40770+(3*365)</f>
        <v>41865</v>
      </c>
      <c r="D2319" s="18" t="s">
        <v>70</v>
      </c>
      <c r="E2319" s="18" t="s">
        <v>66</v>
      </c>
      <c r="F2319" s="21">
        <v>558</v>
      </c>
    </row>
    <row r="2320" spans="2:6" x14ac:dyDescent="0.25">
      <c r="B2320" s="18" t="s">
        <v>8</v>
      </c>
      <c r="C2320" s="19">
        <f>41121+(3*365)</f>
        <v>42216</v>
      </c>
      <c r="D2320" s="18" t="s">
        <v>81</v>
      </c>
      <c r="E2320" s="18" t="s">
        <v>69</v>
      </c>
      <c r="F2320" s="21">
        <v>6264</v>
      </c>
    </row>
    <row r="2321" spans="2:6" x14ac:dyDescent="0.25">
      <c r="B2321" s="18" t="s">
        <v>9</v>
      </c>
      <c r="C2321" s="19">
        <f>40395+(3*365)</f>
        <v>41490</v>
      </c>
      <c r="D2321" s="18" t="s">
        <v>62</v>
      </c>
      <c r="E2321" s="18" t="s">
        <v>63</v>
      </c>
      <c r="F2321" s="21">
        <v>570</v>
      </c>
    </row>
    <row r="2322" spans="2:6" x14ac:dyDescent="0.25">
      <c r="B2322" s="18" t="s">
        <v>10</v>
      </c>
      <c r="C2322" s="19">
        <f>40260+(3*365)</f>
        <v>41355</v>
      </c>
      <c r="D2322" s="18" t="s">
        <v>67</v>
      </c>
      <c r="E2322" s="18" t="s">
        <v>61</v>
      </c>
      <c r="F2322" s="21">
        <v>114</v>
      </c>
    </row>
    <row r="2323" spans="2:6" x14ac:dyDescent="0.25">
      <c r="B2323" s="18" t="s">
        <v>10</v>
      </c>
      <c r="C2323" s="19">
        <f>39845+(3*365)</f>
        <v>40940</v>
      </c>
      <c r="D2323" s="18" t="s">
        <v>67</v>
      </c>
      <c r="E2323" s="18" t="s">
        <v>66</v>
      </c>
      <c r="F2323" s="21">
        <v>220</v>
      </c>
    </row>
    <row r="2324" spans="2:6" x14ac:dyDescent="0.25">
      <c r="B2324" s="18" t="s">
        <v>11</v>
      </c>
      <c r="C2324" s="19">
        <f>40954+(3*365)</f>
        <v>42049</v>
      </c>
      <c r="D2324" s="18" t="s">
        <v>60</v>
      </c>
      <c r="E2324" s="18" t="s">
        <v>72</v>
      </c>
      <c r="F2324" s="21">
        <v>7588</v>
      </c>
    </row>
    <row r="2325" spans="2:6" x14ac:dyDescent="0.25">
      <c r="B2325" s="18" t="s">
        <v>10</v>
      </c>
      <c r="C2325" s="19">
        <f>40256+(3*365)</f>
        <v>41351</v>
      </c>
      <c r="D2325" s="18" t="s">
        <v>67</v>
      </c>
      <c r="E2325" s="18" t="s">
        <v>75</v>
      </c>
      <c r="F2325" s="21">
        <v>78</v>
      </c>
    </row>
    <row r="2326" spans="2:6" x14ac:dyDescent="0.25">
      <c r="B2326" s="18" t="s">
        <v>21</v>
      </c>
      <c r="C2326" s="19">
        <f>40361+(3*365)</f>
        <v>41456</v>
      </c>
      <c r="D2326" s="18" t="s">
        <v>73</v>
      </c>
      <c r="E2326" s="18" t="s">
        <v>72</v>
      </c>
      <c r="F2326" s="21">
        <v>2178</v>
      </c>
    </row>
    <row r="2327" spans="2:6" x14ac:dyDescent="0.25">
      <c r="B2327" s="18" t="s">
        <v>21</v>
      </c>
      <c r="C2327" s="19">
        <f>41225+(3*365)</f>
        <v>42320</v>
      </c>
      <c r="D2327" s="18" t="s">
        <v>73</v>
      </c>
      <c r="E2327" s="18" t="s">
        <v>64</v>
      </c>
      <c r="F2327" s="21">
        <v>10872</v>
      </c>
    </row>
    <row r="2328" spans="2:6" x14ac:dyDescent="0.25">
      <c r="B2328" s="18" t="s">
        <v>11</v>
      </c>
      <c r="C2328" s="19">
        <f>40375+(3*365)</f>
        <v>41470</v>
      </c>
      <c r="D2328" s="18" t="s">
        <v>74</v>
      </c>
      <c r="E2328" s="18" t="s">
        <v>61</v>
      </c>
      <c r="F2328" s="21">
        <v>114</v>
      </c>
    </row>
    <row r="2329" spans="2:6" x14ac:dyDescent="0.25">
      <c r="B2329" s="18" t="s">
        <v>31</v>
      </c>
      <c r="C2329" s="19">
        <f>40081+(3*365)</f>
        <v>41176</v>
      </c>
      <c r="D2329" s="18" t="s">
        <v>76</v>
      </c>
      <c r="E2329" s="18" t="s">
        <v>59</v>
      </c>
      <c r="F2329" s="21">
        <v>720</v>
      </c>
    </row>
    <row r="2330" spans="2:6" x14ac:dyDescent="0.25">
      <c r="B2330" s="18" t="s">
        <v>8</v>
      </c>
      <c r="C2330" s="19">
        <f>40210+(3*365)</f>
        <v>41305</v>
      </c>
      <c r="D2330" s="18" t="s">
        <v>81</v>
      </c>
      <c r="E2330" s="18" t="s">
        <v>64</v>
      </c>
      <c r="F2330" s="21">
        <v>2752</v>
      </c>
    </row>
    <row r="2331" spans="2:6" x14ac:dyDescent="0.25">
      <c r="B2331" s="18" t="s">
        <v>18</v>
      </c>
      <c r="C2331" s="19">
        <f>40715+(3*365)</f>
        <v>41810</v>
      </c>
      <c r="D2331" s="18" t="s">
        <v>71</v>
      </c>
      <c r="E2331" s="18" t="s">
        <v>64</v>
      </c>
      <c r="F2331" s="21">
        <v>14784</v>
      </c>
    </row>
    <row r="2332" spans="2:6" x14ac:dyDescent="0.25">
      <c r="B2332" s="18" t="s">
        <v>9</v>
      </c>
      <c r="C2332" s="19">
        <f>40273+(3*365)</f>
        <v>41368</v>
      </c>
      <c r="D2332" s="18" t="s">
        <v>80</v>
      </c>
      <c r="E2332" s="18" t="s">
        <v>59</v>
      </c>
      <c r="F2332" s="21">
        <v>48</v>
      </c>
    </row>
    <row r="2333" spans="2:6" x14ac:dyDescent="0.25">
      <c r="B2333" s="18" t="s">
        <v>31</v>
      </c>
      <c r="C2333" s="19">
        <f>39978+(3*365)</f>
        <v>41073</v>
      </c>
      <c r="D2333" s="18" t="s">
        <v>70</v>
      </c>
      <c r="E2333" s="18" t="s">
        <v>59</v>
      </c>
      <c r="F2333" s="21">
        <v>114</v>
      </c>
    </row>
    <row r="2334" spans="2:6" x14ac:dyDescent="0.25">
      <c r="B2334" s="18" t="s">
        <v>8</v>
      </c>
      <c r="C2334" s="19">
        <f>40980+(3*365)</f>
        <v>42075</v>
      </c>
      <c r="D2334" s="18" t="s">
        <v>77</v>
      </c>
      <c r="E2334" s="18" t="s">
        <v>61</v>
      </c>
      <c r="F2334" s="21">
        <v>1480</v>
      </c>
    </row>
    <row r="2335" spans="2:6" x14ac:dyDescent="0.25">
      <c r="B2335" s="18" t="s">
        <v>31</v>
      </c>
      <c r="C2335" s="19">
        <f>41266+(3*365)</f>
        <v>42361</v>
      </c>
      <c r="D2335" s="18" t="s">
        <v>76</v>
      </c>
      <c r="E2335" s="18" t="s">
        <v>59</v>
      </c>
      <c r="F2335" s="21">
        <v>138</v>
      </c>
    </row>
    <row r="2336" spans="2:6" x14ac:dyDescent="0.25">
      <c r="B2336" s="18" t="s">
        <v>25</v>
      </c>
      <c r="C2336" s="19">
        <f>40666+(3*365)</f>
        <v>41761</v>
      </c>
      <c r="D2336" s="18" t="s">
        <v>79</v>
      </c>
      <c r="E2336" s="18" t="s">
        <v>66</v>
      </c>
      <c r="F2336" s="21">
        <v>184</v>
      </c>
    </row>
    <row r="2337" spans="2:6" x14ac:dyDescent="0.25">
      <c r="B2337" s="18" t="s">
        <v>9</v>
      </c>
      <c r="C2337" s="19">
        <f>40692+(3*365)</f>
        <v>41787</v>
      </c>
      <c r="D2337" s="18" t="s">
        <v>62</v>
      </c>
      <c r="E2337" s="18" t="s">
        <v>69</v>
      </c>
      <c r="F2337" s="21">
        <v>3576</v>
      </c>
    </row>
    <row r="2338" spans="2:6" x14ac:dyDescent="0.25">
      <c r="B2338" s="18" t="s">
        <v>31</v>
      </c>
      <c r="C2338" s="19">
        <f>40645+(3*365)</f>
        <v>41740</v>
      </c>
      <c r="D2338" s="18" t="s">
        <v>70</v>
      </c>
      <c r="E2338" s="18" t="s">
        <v>69</v>
      </c>
      <c r="F2338" s="21">
        <v>720</v>
      </c>
    </row>
    <row r="2339" spans="2:6" x14ac:dyDescent="0.25">
      <c r="B2339" s="18" t="s">
        <v>18</v>
      </c>
      <c r="C2339" s="19">
        <f>40986+(3*365)</f>
        <v>42081</v>
      </c>
      <c r="D2339" s="18" t="s">
        <v>68</v>
      </c>
      <c r="E2339" s="18" t="s">
        <v>59</v>
      </c>
      <c r="F2339" s="21">
        <v>336</v>
      </c>
    </row>
    <row r="2340" spans="2:6" x14ac:dyDescent="0.25">
      <c r="B2340" s="18" t="s">
        <v>18</v>
      </c>
      <c r="C2340" s="19">
        <f>41096+(3*365)</f>
        <v>42191</v>
      </c>
      <c r="D2340" s="18" t="s">
        <v>68</v>
      </c>
      <c r="E2340" s="18" t="s">
        <v>75</v>
      </c>
      <c r="F2340" s="21">
        <v>192</v>
      </c>
    </row>
    <row r="2341" spans="2:6" x14ac:dyDescent="0.25">
      <c r="B2341" s="18" t="s">
        <v>8</v>
      </c>
      <c r="C2341" s="19">
        <f>40181+(3*365)</f>
        <v>41276</v>
      </c>
      <c r="D2341" s="18" t="s">
        <v>81</v>
      </c>
      <c r="E2341" s="18" t="s">
        <v>75</v>
      </c>
      <c r="F2341" s="21">
        <v>60</v>
      </c>
    </row>
    <row r="2342" spans="2:6" x14ac:dyDescent="0.25">
      <c r="B2342" s="18" t="s">
        <v>21</v>
      </c>
      <c r="C2342" s="19">
        <f>40435+(3*365)</f>
        <v>41530</v>
      </c>
      <c r="D2342" s="18" t="s">
        <v>73</v>
      </c>
      <c r="E2342" s="18" t="s">
        <v>69</v>
      </c>
      <c r="F2342" s="21">
        <v>1540</v>
      </c>
    </row>
    <row r="2343" spans="2:6" x14ac:dyDescent="0.25">
      <c r="B2343" s="18" t="s">
        <v>10</v>
      </c>
      <c r="C2343" s="19">
        <f>40087+(3*365)</f>
        <v>41182</v>
      </c>
      <c r="D2343" s="18" t="s">
        <v>65</v>
      </c>
      <c r="E2343" s="18" t="s">
        <v>61</v>
      </c>
      <c r="F2343" s="21">
        <v>2080</v>
      </c>
    </row>
    <row r="2344" spans="2:6" x14ac:dyDescent="0.25">
      <c r="B2344" s="18" t="s">
        <v>10</v>
      </c>
      <c r="C2344" s="19">
        <f>40337+(3*365)</f>
        <v>41432</v>
      </c>
      <c r="D2344" s="18" t="s">
        <v>67</v>
      </c>
      <c r="E2344" s="18" t="s">
        <v>72</v>
      </c>
      <c r="F2344" s="21">
        <v>387</v>
      </c>
    </row>
    <row r="2345" spans="2:6" x14ac:dyDescent="0.25">
      <c r="B2345" s="18" t="s">
        <v>18</v>
      </c>
      <c r="C2345" s="19">
        <f>39891+(3*365)</f>
        <v>40986</v>
      </c>
      <c r="D2345" s="18" t="s">
        <v>68</v>
      </c>
      <c r="E2345" s="18" t="s">
        <v>66</v>
      </c>
      <c r="F2345" s="21">
        <v>1148</v>
      </c>
    </row>
    <row r="2346" spans="2:6" x14ac:dyDescent="0.25">
      <c r="B2346" s="18" t="s">
        <v>18</v>
      </c>
      <c r="C2346" s="19">
        <f>40922+(3*365)</f>
        <v>42017</v>
      </c>
      <c r="D2346" s="18" t="s">
        <v>71</v>
      </c>
      <c r="E2346" s="18" t="s">
        <v>64</v>
      </c>
      <c r="F2346" s="21">
        <v>1578</v>
      </c>
    </row>
    <row r="2347" spans="2:6" x14ac:dyDescent="0.25">
      <c r="B2347" s="18" t="s">
        <v>10</v>
      </c>
      <c r="C2347" s="19">
        <f>40951+(3*365)</f>
        <v>42046</v>
      </c>
      <c r="D2347" s="18" t="s">
        <v>67</v>
      </c>
      <c r="E2347" s="18" t="s">
        <v>66</v>
      </c>
      <c r="F2347" s="21">
        <v>531</v>
      </c>
    </row>
    <row r="2348" spans="2:6" x14ac:dyDescent="0.25">
      <c r="B2348" s="18" t="s">
        <v>10</v>
      </c>
      <c r="C2348" s="19">
        <f>41035+(3*365)</f>
        <v>42130</v>
      </c>
      <c r="D2348" s="18" t="s">
        <v>67</v>
      </c>
      <c r="E2348" s="18" t="s">
        <v>72</v>
      </c>
      <c r="F2348" s="21">
        <v>1050</v>
      </c>
    </row>
    <row r="2349" spans="2:6" x14ac:dyDescent="0.25">
      <c r="B2349" s="18" t="s">
        <v>31</v>
      </c>
      <c r="C2349" s="19">
        <f>39914+(3*365)</f>
        <v>41009</v>
      </c>
      <c r="D2349" s="18" t="s">
        <v>76</v>
      </c>
      <c r="E2349" s="18" t="s">
        <v>66</v>
      </c>
      <c r="F2349" s="21">
        <v>1701</v>
      </c>
    </row>
    <row r="2350" spans="2:6" x14ac:dyDescent="0.25">
      <c r="B2350" s="18" t="s">
        <v>31</v>
      </c>
      <c r="C2350" s="19">
        <f>39957+(3*365)</f>
        <v>41052</v>
      </c>
      <c r="D2350" s="18" t="s">
        <v>70</v>
      </c>
      <c r="E2350" s="18" t="s">
        <v>66</v>
      </c>
      <c r="F2350" s="21">
        <v>1134</v>
      </c>
    </row>
    <row r="2351" spans="2:6" x14ac:dyDescent="0.25">
      <c r="B2351" s="18" t="s">
        <v>11</v>
      </c>
      <c r="C2351" s="19">
        <f>40880+(3*365)</f>
        <v>41975</v>
      </c>
      <c r="D2351" s="18" t="s">
        <v>74</v>
      </c>
      <c r="E2351" s="18" t="s">
        <v>64</v>
      </c>
      <c r="F2351" s="21">
        <v>909</v>
      </c>
    </row>
    <row r="2352" spans="2:6" x14ac:dyDescent="0.25">
      <c r="B2352" s="18" t="s">
        <v>8</v>
      </c>
      <c r="C2352" s="19">
        <f>39857+(3*365)</f>
        <v>40952</v>
      </c>
      <c r="D2352" s="18" t="s">
        <v>81</v>
      </c>
      <c r="E2352" s="18" t="s">
        <v>72</v>
      </c>
      <c r="F2352" s="21">
        <v>3084</v>
      </c>
    </row>
    <row r="2353" spans="2:6" x14ac:dyDescent="0.25">
      <c r="B2353" s="18" t="s">
        <v>11</v>
      </c>
      <c r="C2353" s="19">
        <f>39816+(3*365)</f>
        <v>40911</v>
      </c>
      <c r="D2353" s="18" t="s">
        <v>74</v>
      </c>
      <c r="E2353" s="18" t="s">
        <v>69</v>
      </c>
      <c r="F2353" s="21">
        <v>474</v>
      </c>
    </row>
    <row r="2354" spans="2:6" x14ac:dyDescent="0.25">
      <c r="B2354" s="18" t="s">
        <v>21</v>
      </c>
      <c r="C2354" s="19">
        <f>39936+(3*365)</f>
        <v>41031</v>
      </c>
      <c r="D2354" s="18" t="s">
        <v>58</v>
      </c>
      <c r="E2354" s="18" t="s">
        <v>75</v>
      </c>
      <c r="F2354" s="21">
        <v>84</v>
      </c>
    </row>
    <row r="2355" spans="2:6" x14ac:dyDescent="0.25">
      <c r="B2355" s="18" t="s">
        <v>9</v>
      </c>
      <c r="C2355" s="19">
        <f>41267+(3*365)</f>
        <v>42362</v>
      </c>
      <c r="D2355" s="18" t="s">
        <v>62</v>
      </c>
      <c r="E2355" s="18" t="s">
        <v>63</v>
      </c>
      <c r="F2355" s="21">
        <v>126</v>
      </c>
    </row>
    <row r="2356" spans="2:6" x14ac:dyDescent="0.25">
      <c r="B2356" s="18" t="s">
        <v>31</v>
      </c>
      <c r="C2356" s="19">
        <f>40173+(3*365)</f>
        <v>41268</v>
      </c>
      <c r="D2356" s="18" t="s">
        <v>70</v>
      </c>
      <c r="E2356" s="18" t="s">
        <v>66</v>
      </c>
      <c r="F2356" s="21">
        <v>504</v>
      </c>
    </row>
    <row r="2357" spans="2:6" x14ac:dyDescent="0.25">
      <c r="B2357" s="18" t="s">
        <v>9</v>
      </c>
      <c r="C2357" s="19">
        <f>40794+(3*365)</f>
        <v>41889</v>
      </c>
      <c r="D2357" s="18" t="s">
        <v>80</v>
      </c>
      <c r="E2357" s="18" t="s">
        <v>69</v>
      </c>
      <c r="F2357" s="21">
        <v>4248</v>
      </c>
    </row>
    <row r="2358" spans="2:6" x14ac:dyDescent="0.25">
      <c r="B2358" s="18" t="s">
        <v>9</v>
      </c>
      <c r="C2358" s="19">
        <f>39992+(3*365)</f>
        <v>41087</v>
      </c>
      <c r="D2358" s="18" t="s">
        <v>80</v>
      </c>
      <c r="E2358" s="18" t="s">
        <v>64</v>
      </c>
      <c r="F2358" s="21">
        <v>8046</v>
      </c>
    </row>
    <row r="2359" spans="2:6" x14ac:dyDescent="0.25">
      <c r="B2359" s="18" t="s">
        <v>11</v>
      </c>
      <c r="C2359" s="19">
        <f>40555+(3*365)</f>
        <v>41650</v>
      </c>
      <c r="D2359" s="18" t="s">
        <v>74</v>
      </c>
      <c r="E2359" s="18" t="s">
        <v>69</v>
      </c>
      <c r="F2359" s="21">
        <v>1512</v>
      </c>
    </row>
    <row r="2360" spans="2:6" x14ac:dyDescent="0.25">
      <c r="B2360" s="18" t="s">
        <v>11</v>
      </c>
      <c r="C2360" s="19">
        <f>40988+(3*365)</f>
        <v>42083</v>
      </c>
      <c r="D2360" s="18" t="s">
        <v>74</v>
      </c>
      <c r="E2360" s="18" t="s">
        <v>64</v>
      </c>
      <c r="F2360" s="21">
        <v>15624</v>
      </c>
    </row>
    <row r="2361" spans="2:6" x14ac:dyDescent="0.25">
      <c r="B2361" s="18" t="s">
        <v>11</v>
      </c>
      <c r="C2361" s="19">
        <f>41260+(3*365)</f>
        <v>42355</v>
      </c>
      <c r="D2361" s="18" t="s">
        <v>74</v>
      </c>
      <c r="E2361" s="18" t="s">
        <v>59</v>
      </c>
      <c r="F2361" s="21">
        <v>144</v>
      </c>
    </row>
    <row r="2362" spans="2:6" x14ac:dyDescent="0.25">
      <c r="B2362" s="18" t="s">
        <v>21</v>
      </c>
      <c r="C2362" s="19">
        <f>40429+(3*365)</f>
        <v>41524</v>
      </c>
      <c r="D2362" s="18" t="s">
        <v>73</v>
      </c>
      <c r="E2362" s="18" t="s">
        <v>64</v>
      </c>
      <c r="F2362" s="21">
        <v>1992</v>
      </c>
    </row>
    <row r="2363" spans="2:6" x14ac:dyDescent="0.25">
      <c r="B2363" s="18" t="s">
        <v>11</v>
      </c>
      <c r="C2363" s="19">
        <f>40561+(3*365)</f>
        <v>41656</v>
      </c>
      <c r="D2363" s="18" t="s">
        <v>60</v>
      </c>
      <c r="E2363" s="18" t="s">
        <v>69</v>
      </c>
      <c r="F2363" s="21">
        <v>945</v>
      </c>
    </row>
    <row r="2364" spans="2:6" x14ac:dyDescent="0.25">
      <c r="B2364" s="18" t="s">
        <v>18</v>
      </c>
      <c r="C2364" s="19">
        <f>40036+(3*365)</f>
        <v>41131</v>
      </c>
      <c r="D2364" s="18" t="s">
        <v>68</v>
      </c>
      <c r="E2364" s="18" t="s">
        <v>72</v>
      </c>
      <c r="F2364" s="21">
        <v>210</v>
      </c>
    </row>
    <row r="2365" spans="2:6" x14ac:dyDescent="0.25">
      <c r="B2365" s="18" t="s">
        <v>25</v>
      </c>
      <c r="C2365" s="19">
        <f>40172+(3*365)</f>
        <v>41267</v>
      </c>
      <c r="D2365" s="18" t="s">
        <v>79</v>
      </c>
      <c r="E2365" s="18" t="s">
        <v>66</v>
      </c>
      <c r="F2365" s="21">
        <v>812</v>
      </c>
    </row>
    <row r="2366" spans="2:6" x14ac:dyDescent="0.25">
      <c r="B2366" s="18" t="s">
        <v>21</v>
      </c>
      <c r="C2366" s="19">
        <f>40328+(3*365)</f>
        <v>41423</v>
      </c>
      <c r="D2366" s="18" t="s">
        <v>73</v>
      </c>
      <c r="E2366" s="18" t="s">
        <v>69</v>
      </c>
      <c r="F2366" s="21">
        <v>984</v>
      </c>
    </row>
    <row r="2367" spans="2:6" x14ac:dyDescent="0.25">
      <c r="B2367" s="18" t="s">
        <v>25</v>
      </c>
      <c r="C2367" s="19">
        <f>41034+(3*365)</f>
        <v>42129</v>
      </c>
      <c r="D2367" s="18" t="s">
        <v>78</v>
      </c>
      <c r="E2367" s="18" t="s">
        <v>61</v>
      </c>
      <c r="F2367" s="21">
        <v>1036</v>
      </c>
    </row>
    <row r="2368" spans="2:6" x14ac:dyDescent="0.25">
      <c r="B2368" s="18" t="s">
        <v>10</v>
      </c>
      <c r="C2368" s="19">
        <f>41186+(3*365)</f>
        <v>42281</v>
      </c>
      <c r="D2368" s="18" t="s">
        <v>65</v>
      </c>
      <c r="E2368" s="18" t="s">
        <v>75</v>
      </c>
      <c r="F2368" s="21">
        <v>540</v>
      </c>
    </row>
    <row r="2369" spans="2:6" x14ac:dyDescent="0.25">
      <c r="B2369" s="18" t="s">
        <v>9</v>
      </c>
      <c r="C2369" s="19">
        <f>40035+(3*365)</f>
        <v>41130</v>
      </c>
      <c r="D2369" s="18" t="s">
        <v>80</v>
      </c>
      <c r="E2369" s="18" t="s">
        <v>59</v>
      </c>
      <c r="F2369" s="21">
        <v>684</v>
      </c>
    </row>
    <row r="2370" spans="2:6" x14ac:dyDescent="0.25">
      <c r="B2370" s="18" t="s">
        <v>25</v>
      </c>
      <c r="C2370" s="19">
        <f>40882+(3*365)</f>
        <v>41977</v>
      </c>
      <c r="D2370" s="18" t="s">
        <v>78</v>
      </c>
      <c r="E2370" s="18" t="s">
        <v>66</v>
      </c>
      <c r="F2370" s="21">
        <v>1484</v>
      </c>
    </row>
    <row r="2371" spans="2:6" x14ac:dyDescent="0.25">
      <c r="B2371" s="18" t="s">
        <v>21</v>
      </c>
      <c r="C2371" s="19">
        <f>40178+(3*365)</f>
        <v>41273</v>
      </c>
      <c r="D2371" s="18" t="s">
        <v>73</v>
      </c>
      <c r="E2371" s="18" t="s">
        <v>72</v>
      </c>
      <c r="F2371" s="21">
        <v>536</v>
      </c>
    </row>
    <row r="2372" spans="2:6" x14ac:dyDescent="0.25">
      <c r="B2372" s="18" t="s">
        <v>8</v>
      </c>
      <c r="C2372" s="19">
        <f>40670+(3*365)</f>
        <v>41765</v>
      </c>
      <c r="D2372" s="18" t="s">
        <v>77</v>
      </c>
      <c r="E2372" s="18" t="s">
        <v>61</v>
      </c>
      <c r="F2372" s="21">
        <v>924</v>
      </c>
    </row>
    <row r="2373" spans="2:6" x14ac:dyDescent="0.25">
      <c r="B2373" s="18" t="s">
        <v>9</v>
      </c>
      <c r="C2373" s="19">
        <f>40005+(3*365)</f>
        <v>41100</v>
      </c>
      <c r="D2373" s="18" t="s">
        <v>80</v>
      </c>
      <c r="E2373" s="18" t="s">
        <v>66</v>
      </c>
      <c r="F2373" s="21">
        <v>328</v>
      </c>
    </row>
    <row r="2374" spans="2:6" x14ac:dyDescent="0.25">
      <c r="B2374" s="18" t="s">
        <v>8</v>
      </c>
      <c r="C2374" s="19">
        <f>39948+(3*365)</f>
        <v>41043</v>
      </c>
      <c r="D2374" s="18" t="s">
        <v>77</v>
      </c>
      <c r="E2374" s="18" t="s">
        <v>66</v>
      </c>
      <c r="F2374" s="21">
        <v>714</v>
      </c>
    </row>
    <row r="2375" spans="2:6" x14ac:dyDescent="0.25">
      <c r="B2375" s="18" t="s">
        <v>25</v>
      </c>
      <c r="C2375" s="19">
        <f>40694+(3*365)</f>
        <v>41789</v>
      </c>
      <c r="D2375" s="18" t="s">
        <v>78</v>
      </c>
      <c r="E2375" s="18" t="s">
        <v>61</v>
      </c>
      <c r="F2375" s="21">
        <v>264</v>
      </c>
    </row>
    <row r="2376" spans="2:6" x14ac:dyDescent="0.25">
      <c r="B2376" s="18" t="s">
        <v>18</v>
      </c>
      <c r="C2376" s="19">
        <f>40005+(3*365)</f>
        <v>41100</v>
      </c>
      <c r="D2376" s="18" t="s">
        <v>71</v>
      </c>
      <c r="E2376" s="18" t="s">
        <v>59</v>
      </c>
      <c r="F2376" s="21">
        <v>304</v>
      </c>
    </row>
    <row r="2377" spans="2:6" x14ac:dyDescent="0.25">
      <c r="B2377" s="18" t="s">
        <v>10</v>
      </c>
      <c r="C2377" s="19">
        <f>40399+(3*365)</f>
        <v>41494</v>
      </c>
      <c r="D2377" s="18" t="s">
        <v>67</v>
      </c>
      <c r="E2377" s="18" t="s">
        <v>75</v>
      </c>
      <c r="F2377" s="21">
        <v>768</v>
      </c>
    </row>
    <row r="2378" spans="2:6" x14ac:dyDescent="0.25">
      <c r="B2378" s="18" t="s">
        <v>18</v>
      </c>
      <c r="C2378" s="19">
        <f>41229+(3*365)</f>
        <v>42324</v>
      </c>
      <c r="D2378" s="18" t="s">
        <v>68</v>
      </c>
      <c r="E2378" s="18" t="s">
        <v>69</v>
      </c>
      <c r="F2378" s="21">
        <v>288</v>
      </c>
    </row>
    <row r="2379" spans="2:6" x14ac:dyDescent="0.25">
      <c r="B2379" s="18" t="s">
        <v>11</v>
      </c>
      <c r="C2379" s="19">
        <f>40802+(3*365)</f>
        <v>41897</v>
      </c>
      <c r="D2379" s="18" t="s">
        <v>74</v>
      </c>
      <c r="E2379" s="18" t="s">
        <v>61</v>
      </c>
      <c r="F2379" s="21">
        <v>1080</v>
      </c>
    </row>
    <row r="2380" spans="2:6" x14ac:dyDescent="0.25">
      <c r="B2380" s="18" t="s">
        <v>25</v>
      </c>
      <c r="C2380" s="19">
        <f>40410+(3*365)</f>
        <v>41505</v>
      </c>
      <c r="D2380" s="18" t="s">
        <v>79</v>
      </c>
      <c r="E2380" s="18" t="s">
        <v>64</v>
      </c>
      <c r="F2380" s="21">
        <v>6768</v>
      </c>
    </row>
    <row r="2381" spans="2:6" x14ac:dyDescent="0.25">
      <c r="B2381" s="18" t="s">
        <v>31</v>
      </c>
      <c r="C2381" s="19">
        <f>40200+(3*365)</f>
        <v>41295</v>
      </c>
      <c r="D2381" s="18" t="s">
        <v>70</v>
      </c>
      <c r="E2381" s="18" t="s">
        <v>63</v>
      </c>
      <c r="F2381" s="21">
        <v>504</v>
      </c>
    </row>
    <row r="2382" spans="2:6" x14ac:dyDescent="0.25">
      <c r="B2382" s="18" t="s">
        <v>21</v>
      </c>
      <c r="C2382" s="19">
        <f>40198+(3*365)</f>
        <v>41293</v>
      </c>
      <c r="D2382" s="18" t="s">
        <v>73</v>
      </c>
      <c r="E2382" s="18" t="s">
        <v>72</v>
      </c>
      <c r="F2382" s="21">
        <v>3240</v>
      </c>
    </row>
    <row r="2383" spans="2:6" x14ac:dyDescent="0.25">
      <c r="B2383" s="18" t="s">
        <v>25</v>
      </c>
      <c r="C2383" s="19">
        <f>40742+(3*365)</f>
        <v>41837</v>
      </c>
      <c r="D2383" s="18" t="s">
        <v>78</v>
      </c>
      <c r="E2383" s="18" t="s">
        <v>66</v>
      </c>
      <c r="F2383" s="21">
        <v>1656</v>
      </c>
    </row>
    <row r="2384" spans="2:6" x14ac:dyDescent="0.25">
      <c r="B2384" s="18" t="s">
        <v>8</v>
      </c>
      <c r="C2384" s="19">
        <f>40775+(3*365)</f>
        <v>41870</v>
      </c>
      <c r="D2384" s="18" t="s">
        <v>77</v>
      </c>
      <c r="E2384" s="18" t="s">
        <v>72</v>
      </c>
      <c r="F2384" s="21">
        <v>1428</v>
      </c>
    </row>
    <row r="2385" spans="2:6" x14ac:dyDescent="0.25">
      <c r="B2385" s="18" t="s">
        <v>11</v>
      </c>
      <c r="C2385" s="19">
        <f>40073+(3*365)</f>
        <v>41168</v>
      </c>
      <c r="D2385" s="18" t="s">
        <v>74</v>
      </c>
      <c r="E2385" s="18" t="s">
        <v>69</v>
      </c>
      <c r="F2385" s="21">
        <v>387</v>
      </c>
    </row>
    <row r="2386" spans="2:6" x14ac:dyDescent="0.25">
      <c r="B2386" s="18" t="s">
        <v>8</v>
      </c>
      <c r="C2386" s="19">
        <f>40992+(3*365)</f>
        <v>42087</v>
      </c>
      <c r="D2386" s="18" t="s">
        <v>77</v>
      </c>
      <c r="E2386" s="18" t="s">
        <v>75</v>
      </c>
      <c r="F2386" s="21">
        <v>260</v>
      </c>
    </row>
    <row r="2387" spans="2:6" x14ac:dyDescent="0.25">
      <c r="B2387" s="18" t="s">
        <v>21</v>
      </c>
      <c r="C2387" s="19">
        <f>40955+(3*365)</f>
        <v>42050</v>
      </c>
      <c r="D2387" s="18" t="s">
        <v>73</v>
      </c>
      <c r="E2387" s="18" t="s">
        <v>63</v>
      </c>
      <c r="F2387" s="21">
        <v>816</v>
      </c>
    </row>
    <row r="2388" spans="2:6" x14ac:dyDescent="0.25">
      <c r="B2388" s="18" t="s">
        <v>25</v>
      </c>
      <c r="C2388" s="19">
        <f>40556+(3*365)</f>
        <v>41651</v>
      </c>
      <c r="D2388" s="18" t="s">
        <v>78</v>
      </c>
      <c r="E2388" s="18" t="s">
        <v>66</v>
      </c>
      <c r="F2388" s="21">
        <v>328</v>
      </c>
    </row>
    <row r="2389" spans="2:6" x14ac:dyDescent="0.25">
      <c r="B2389" s="18" t="s">
        <v>25</v>
      </c>
      <c r="C2389" s="19">
        <f>39881+(3*365)</f>
        <v>40976</v>
      </c>
      <c r="D2389" s="18" t="s">
        <v>78</v>
      </c>
      <c r="E2389" s="18" t="s">
        <v>66</v>
      </c>
      <c r="F2389" s="21">
        <v>270</v>
      </c>
    </row>
    <row r="2390" spans="2:6" x14ac:dyDescent="0.25">
      <c r="B2390" s="18" t="s">
        <v>10</v>
      </c>
      <c r="C2390" s="19">
        <f>40247+(3*365)</f>
        <v>41342</v>
      </c>
      <c r="D2390" s="18" t="s">
        <v>67</v>
      </c>
      <c r="E2390" s="18" t="s">
        <v>64</v>
      </c>
      <c r="F2390" s="21">
        <v>9891</v>
      </c>
    </row>
    <row r="2391" spans="2:6" x14ac:dyDescent="0.25">
      <c r="B2391" s="18" t="s">
        <v>31</v>
      </c>
      <c r="C2391" s="19">
        <f>39949+(3*365)</f>
        <v>41044</v>
      </c>
      <c r="D2391" s="18" t="s">
        <v>76</v>
      </c>
      <c r="E2391" s="18" t="s">
        <v>59</v>
      </c>
      <c r="F2391" s="21">
        <v>222</v>
      </c>
    </row>
    <row r="2392" spans="2:6" x14ac:dyDescent="0.25">
      <c r="B2392" s="18" t="s">
        <v>10</v>
      </c>
      <c r="C2392" s="19">
        <f>40192+(3*365)</f>
        <v>41287</v>
      </c>
      <c r="D2392" s="18" t="s">
        <v>65</v>
      </c>
      <c r="E2392" s="18" t="s">
        <v>69</v>
      </c>
      <c r="F2392" s="21">
        <v>750</v>
      </c>
    </row>
    <row r="2393" spans="2:6" x14ac:dyDescent="0.25">
      <c r="B2393" s="18" t="s">
        <v>21</v>
      </c>
      <c r="C2393" s="19">
        <f>41214+(3*365)</f>
        <v>42309</v>
      </c>
      <c r="D2393" s="18" t="s">
        <v>73</v>
      </c>
      <c r="E2393" s="18" t="s">
        <v>61</v>
      </c>
      <c r="F2393" s="21">
        <v>660</v>
      </c>
    </row>
    <row r="2394" spans="2:6" x14ac:dyDescent="0.25">
      <c r="B2394" s="18" t="s">
        <v>9</v>
      </c>
      <c r="C2394" s="19">
        <f>40832+(3*365)</f>
        <v>41927</v>
      </c>
      <c r="D2394" s="18" t="s">
        <v>80</v>
      </c>
      <c r="E2394" s="18" t="s">
        <v>72</v>
      </c>
      <c r="F2394" s="21">
        <v>3912</v>
      </c>
    </row>
    <row r="2395" spans="2:6" x14ac:dyDescent="0.25">
      <c r="B2395" s="18" t="s">
        <v>8</v>
      </c>
      <c r="C2395" s="19">
        <f>40166+(3*365)</f>
        <v>41261</v>
      </c>
      <c r="D2395" s="18" t="s">
        <v>81</v>
      </c>
      <c r="E2395" s="18" t="s">
        <v>69</v>
      </c>
      <c r="F2395" s="21">
        <v>765</v>
      </c>
    </row>
    <row r="2396" spans="2:6" x14ac:dyDescent="0.25">
      <c r="B2396" s="18" t="s">
        <v>25</v>
      </c>
      <c r="C2396" s="19">
        <f>41231+(3*365)</f>
        <v>42326</v>
      </c>
      <c r="D2396" s="18" t="s">
        <v>78</v>
      </c>
      <c r="E2396" s="18" t="s">
        <v>72</v>
      </c>
      <c r="F2396" s="21">
        <v>210</v>
      </c>
    </row>
    <row r="2397" spans="2:6" x14ac:dyDescent="0.25">
      <c r="B2397" s="18" t="s">
        <v>25</v>
      </c>
      <c r="C2397" s="19">
        <f>40697+(3*365)</f>
        <v>41792</v>
      </c>
      <c r="D2397" s="18" t="s">
        <v>78</v>
      </c>
      <c r="E2397" s="18" t="s">
        <v>66</v>
      </c>
      <c r="F2397" s="21">
        <v>332</v>
      </c>
    </row>
    <row r="2398" spans="2:6" x14ac:dyDescent="0.25">
      <c r="B2398" s="18" t="s">
        <v>8</v>
      </c>
      <c r="C2398" s="19">
        <f>40305+(3*365)</f>
        <v>41400</v>
      </c>
      <c r="D2398" s="18" t="s">
        <v>81</v>
      </c>
      <c r="E2398" s="18" t="s">
        <v>66</v>
      </c>
      <c r="F2398" s="21">
        <v>336</v>
      </c>
    </row>
    <row r="2399" spans="2:6" x14ac:dyDescent="0.25">
      <c r="B2399" s="18" t="s">
        <v>9</v>
      </c>
      <c r="C2399" s="19">
        <f>40951+(3*365)</f>
        <v>42046</v>
      </c>
      <c r="D2399" s="18" t="s">
        <v>62</v>
      </c>
      <c r="E2399" s="18" t="s">
        <v>75</v>
      </c>
      <c r="F2399" s="21">
        <v>66</v>
      </c>
    </row>
    <row r="2400" spans="2:6" x14ac:dyDescent="0.25">
      <c r="B2400" s="18" t="s">
        <v>25</v>
      </c>
      <c r="C2400" s="19">
        <f>40400+(3*365)</f>
        <v>41495</v>
      </c>
      <c r="D2400" s="18" t="s">
        <v>78</v>
      </c>
      <c r="E2400" s="18" t="s">
        <v>72</v>
      </c>
      <c r="F2400" s="21">
        <v>5943</v>
      </c>
    </row>
    <row r="2401" spans="2:6" x14ac:dyDescent="0.25">
      <c r="B2401" s="18" t="s">
        <v>18</v>
      </c>
      <c r="C2401" s="19">
        <f>40435+(3*365)</f>
        <v>41530</v>
      </c>
      <c r="D2401" s="18" t="s">
        <v>71</v>
      </c>
      <c r="E2401" s="18" t="s">
        <v>69</v>
      </c>
      <c r="F2401" s="21">
        <v>2670</v>
      </c>
    </row>
    <row r="2402" spans="2:6" x14ac:dyDescent="0.25">
      <c r="B2402" s="18" t="s">
        <v>31</v>
      </c>
      <c r="C2402" s="19">
        <f>41241+(3*365)</f>
        <v>42336</v>
      </c>
      <c r="D2402" s="18" t="s">
        <v>76</v>
      </c>
      <c r="E2402" s="18" t="s">
        <v>61</v>
      </c>
      <c r="F2402" s="21">
        <v>204</v>
      </c>
    </row>
    <row r="2403" spans="2:6" x14ac:dyDescent="0.25">
      <c r="B2403" s="18" t="s">
        <v>8</v>
      </c>
      <c r="C2403" s="19">
        <f>41012+(3*365)</f>
        <v>42107</v>
      </c>
      <c r="D2403" s="18" t="s">
        <v>81</v>
      </c>
      <c r="E2403" s="18" t="s">
        <v>64</v>
      </c>
      <c r="F2403" s="21">
        <v>1308</v>
      </c>
    </row>
    <row r="2404" spans="2:6" x14ac:dyDescent="0.25">
      <c r="B2404" s="18" t="s">
        <v>11</v>
      </c>
      <c r="C2404" s="19">
        <f>40292+(3*365)</f>
        <v>41387</v>
      </c>
      <c r="D2404" s="18" t="s">
        <v>74</v>
      </c>
      <c r="E2404" s="18" t="s">
        <v>69</v>
      </c>
      <c r="F2404" s="21">
        <v>4008</v>
      </c>
    </row>
    <row r="2405" spans="2:6" x14ac:dyDescent="0.25">
      <c r="B2405" s="18" t="s">
        <v>31</v>
      </c>
      <c r="C2405" s="19">
        <f>40064+(3*365)</f>
        <v>41159</v>
      </c>
      <c r="D2405" s="18" t="s">
        <v>70</v>
      </c>
      <c r="E2405" s="18" t="s">
        <v>66</v>
      </c>
      <c r="F2405" s="21">
        <v>141</v>
      </c>
    </row>
    <row r="2406" spans="2:6" x14ac:dyDescent="0.25">
      <c r="B2406" s="18" t="s">
        <v>11</v>
      </c>
      <c r="C2406" s="19">
        <f>41002+(3*365)</f>
        <v>42097</v>
      </c>
      <c r="D2406" s="18" t="s">
        <v>60</v>
      </c>
      <c r="E2406" s="18" t="s">
        <v>66</v>
      </c>
      <c r="F2406" s="21">
        <v>936</v>
      </c>
    </row>
    <row r="2407" spans="2:6" x14ac:dyDescent="0.25">
      <c r="B2407" s="18" t="s">
        <v>11</v>
      </c>
      <c r="C2407" s="19">
        <f>40655+(3*365)</f>
        <v>41750</v>
      </c>
      <c r="D2407" s="18" t="s">
        <v>60</v>
      </c>
      <c r="E2407" s="18" t="s">
        <v>69</v>
      </c>
      <c r="F2407" s="21">
        <v>270</v>
      </c>
    </row>
    <row r="2408" spans="2:6" x14ac:dyDescent="0.25">
      <c r="B2408" s="18" t="s">
        <v>31</v>
      </c>
      <c r="C2408" s="19">
        <f>41071+(3*365)</f>
        <v>42166</v>
      </c>
      <c r="D2408" s="18" t="s">
        <v>70</v>
      </c>
      <c r="E2408" s="18" t="s">
        <v>69</v>
      </c>
      <c r="F2408" s="21">
        <v>2592</v>
      </c>
    </row>
    <row r="2409" spans="2:6" x14ac:dyDescent="0.25">
      <c r="B2409" s="18" t="s">
        <v>21</v>
      </c>
      <c r="C2409" s="19">
        <f>40202+(3*365)</f>
        <v>41297</v>
      </c>
      <c r="D2409" s="18" t="s">
        <v>58</v>
      </c>
      <c r="E2409" s="18" t="s">
        <v>66</v>
      </c>
      <c r="F2409" s="21">
        <v>62</v>
      </c>
    </row>
    <row r="2410" spans="2:6" x14ac:dyDescent="0.25">
      <c r="B2410" s="18" t="s">
        <v>18</v>
      </c>
      <c r="C2410" s="19">
        <f>40204+(3*365)</f>
        <v>41299</v>
      </c>
      <c r="D2410" s="18" t="s">
        <v>71</v>
      </c>
      <c r="E2410" s="18" t="s">
        <v>66</v>
      </c>
      <c r="F2410" s="21">
        <v>1944</v>
      </c>
    </row>
    <row r="2411" spans="2:6" x14ac:dyDescent="0.25">
      <c r="B2411" s="18" t="s">
        <v>31</v>
      </c>
      <c r="C2411" s="19">
        <f>40930+(3*365)</f>
        <v>42025</v>
      </c>
      <c r="D2411" s="18" t="s">
        <v>76</v>
      </c>
      <c r="E2411" s="18" t="s">
        <v>63</v>
      </c>
      <c r="F2411" s="21">
        <v>384</v>
      </c>
    </row>
    <row r="2412" spans="2:6" x14ac:dyDescent="0.25">
      <c r="B2412" s="18" t="s">
        <v>10</v>
      </c>
      <c r="C2412" s="19">
        <f>40856+(3*365)</f>
        <v>41951</v>
      </c>
      <c r="D2412" s="18" t="s">
        <v>65</v>
      </c>
      <c r="E2412" s="18" t="s">
        <v>59</v>
      </c>
      <c r="F2412" s="21">
        <v>448</v>
      </c>
    </row>
    <row r="2413" spans="2:6" x14ac:dyDescent="0.25">
      <c r="B2413" s="18" t="s">
        <v>10</v>
      </c>
      <c r="C2413" s="19">
        <f>39822+(3*365)</f>
        <v>40917</v>
      </c>
      <c r="D2413" s="18" t="s">
        <v>67</v>
      </c>
      <c r="E2413" s="18" t="s">
        <v>63</v>
      </c>
      <c r="F2413" s="21">
        <v>1944</v>
      </c>
    </row>
    <row r="2414" spans="2:6" x14ac:dyDescent="0.25">
      <c r="B2414" s="18" t="s">
        <v>21</v>
      </c>
      <c r="C2414" s="19">
        <f>40326+(3*365)</f>
        <v>41421</v>
      </c>
      <c r="D2414" s="18" t="s">
        <v>73</v>
      </c>
      <c r="E2414" s="18" t="s">
        <v>59</v>
      </c>
      <c r="F2414" s="21">
        <v>594</v>
      </c>
    </row>
    <row r="2415" spans="2:6" x14ac:dyDescent="0.25">
      <c r="B2415" s="18" t="s">
        <v>9</v>
      </c>
      <c r="C2415" s="19">
        <f>41258+(3*365)</f>
        <v>42353</v>
      </c>
      <c r="D2415" s="18" t="s">
        <v>80</v>
      </c>
      <c r="E2415" s="18" t="s">
        <v>63</v>
      </c>
      <c r="F2415" s="21">
        <v>180</v>
      </c>
    </row>
    <row r="2416" spans="2:6" x14ac:dyDescent="0.25">
      <c r="B2416" s="18" t="s">
        <v>21</v>
      </c>
      <c r="C2416" s="19">
        <f>40657+(3*365)</f>
        <v>41752</v>
      </c>
      <c r="D2416" s="18" t="s">
        <v>73</v>
      </c>
      <c r="E2416" s="18" t="s">
        <v>75</v>
      </c>
      <c r="F2416" s="21">
        <v>414</v>
      </c>
    </row>
    <row r="2417" spans="2:6" x14ac:dyDescent="0.25">
      <c r="B2417" s="18" t="s">
        <v>9</v>
      </c>
      <c r="C2417" s="19">
        <f>39815+(3*365)</f>
        <v>40910</v>
      </c>
      <c r="D2417" s="18" t="s">
        <v>62</v>
      </c>
      <c r="E2417" s="18" t="s">
        <v>66</v>
      </c>
      <c r="F2417" s="21">
        <v>240</v>
      </c>
    </row>
    <row r="2418" spans="2:6" x14ac:dyDescent="0.25">
      <c r="B2418" s="18" t="s">
        <v>21</v>
      </c>
      <c r="C2418" s="19">
        <f>39818+(3*365)</f>
        <v>40913</v>
      </c>
      <c r="D2418" s="18" t="s">
        <v>58</v>
      </c>
      <c r="E2418" s="18" t="s">
        <v>72</v>
      </c>
      <c r="F2418" s="21">
        <v>1169</v>
      </c>
    </row>
    <row r="2419" spans="2:6" x14ac:dyDescent="0.25">
      <c r="B2419" s="18" t="s">
        <v>8</v>
      </c>
      <c r="C2419" s="19">
        <f>40756+(3*365)</f>
        <v>41851</v>
      </c>
      <c r="D2419" s="18" t="s">
        <v>77</v>
      </c>
      <c r="E2419" s="18" t="s">
        <v>59</v>
      </c>
      <c r="F2419" s="21">
        <v>352</v>
      </c>
    </row>
    <row r="2420" spans="2:6" x14ac:dyDescent="0.25">
      <c r="B2420" s="18" t="s">
        <v>18</v>
      </c>
      <c r="C2420" s="19">
        <f>40799+(3*365)</f>
        <v>41894</v>
      </c>
      <c r="D2420" s="18" t="s">
        <v>71</v>
      </c>
      <c r="E2420" s="18" t="s">
        <v>75</v>
      </c>
      <c r="F2420" s="21">
        <v>1188</v>
      </c>
    </row>
    <row r="2421" spans="2:6" x14ac:dyDescent="0.25">
      <c r="B2421" s="18" t="s">
        <v>31</v>
      </c>
      <c r="C2421" s="19">
        <f>40352+(3*365)</f>
        <v>41447</v>
      </c>
      <c r="D2421" s="18" t="s">
        <v>76</v>
      </c>
      <c r="E2421" s="18" t="s">
        <v>66</v>
      </c>
      <c r="F2421" s="21">
        <v>1134</v>
      </c>
    </row>
    <row r="2422" spans="2:6" x14ac:dyDescent="0.25">
      <c r="B2422" s="18" t="s">
        <v>18</v>
      </c>
      <c r="C2422" s="19">
        <f>39964+(3*365)</f>
        <v>41059</v>
      </c>
      <c r="D2422" s="18" t="s">
        <v>71</v>
      </c>
      <c r="E2422" s="18" t="s">
        <v>66</v>
      </c>
      <c r="F2422" s="21">
        <v>450</v>
      </c>
    </row>
    <row r="2423" spans="2:6" x14ac:dyDescent="0.25">
      <c r="B2423" s="18" t="s">
        <v>31</v>
      </c>
      <c r="C2423" s="19">
        <f>41244+(3*365)</f>
        <v>42339</v>
      </c>
      <c r="D2423" s="18" t="s">
        <v>70</v>
      </c>
      <c r="E2423" s="18" t="s">
        <v>59</v>
      </c>
      <c r="F2423" s="21">
        <v>504</v>
      </c>
    </row>
    <row r="2424" spans="2:6" x14ac:dyDescent="0.25">
      <c r="B2424" s="18" t="s">
        <v>11</v>
      </c>
      <c r="C2424" s="19">
        <f>39966+(3*365)</f>
        <v>41061</v>
      </c>
      <c r="D2424" s="18" t="s">
        <v>60</v>
      </c>
      <c r="E2424" s="18" t="s">
        <v>66</v>
      </c>
      <c r="F2424" s="21">
        <v>198</v>
      </c>
    </row>
    <row r="2425" spans="2:6" x14ac:dyDescent="0.25">
      <c r="B2425" s="18" t="s">
        <v>10</v>
      </c>
      <c r="C2425" s="19">
        <f>40303+(3*365)</f>
        <v>41398</v>
      </c>
      <c r="D2425" s="18" t="s">
        <v>67</v>
      </c>
      <c r="E2425" s="18" t="s">
        <v>72</v>
      </c>
      <c r="F2425" s="21">
        <v>2106</v>
      </c>
    </row>
    <row r="2426" spans="2:6" x14ac:dyDescent="0.25">
      <c r="B2426" s="18" t="s">
        <v>8</v>
      </c>
      <c r="C2426" s="19">
        <f>40340+(3*365)</f>
        <v>41435</v>
      </c>
      <c r="D2426" s="18" t="s">
        <v>81</v>
      </c>
      <c r="E2426" s="18" t="s">
        <v>66</v>
      </c>
      <c r="F2426" s="21">
        <v>1008</v>
      </c>
    </row>
    <row r="2427" spans="2:6" x14ac:dyDescent="0.25">
      <c r="B2427" s="18" t="s">
        <v>31</v>
      </c>
      <c r="C2427" s="19">
        <f>40434+(3*365)</f>
        <v>41529</v>
      </c>
      <c r="D2427" s="18" t="s">
        <v>76</v>
      </c>
      <c r="E2427" s="18" t="s">
        <v>61</v>
      </c>
      <c r="F2427" s="21">
        <v>900</v>
      </c>
    </row>
    <row r="2428" spans="2:6" x14ac:dyDescent="0.25">
      <c r="B2428" s="18" t="s">
        <v>11</v>
      </c>
      <c r="C2428" s="19">
        <f>40029+(3*365)</f>
        <v>41124</v>
      </c>
      <c r="D2428" s="18" t="s">
        <v>74</v>
      </c>
      <c r="E2428" s="18" t="s">
        <v>69</v>
      </c>
      <c r="F2428" s="21">
        <v>534</v>
      </c>
    </row>
    <row r="2429" spans="2:6" x14ac:dyDescent="0.25">
      <c r="B2429" s="18" t="s">
        <v>18</v>
      </c>
      <c r="C2429" s="19">
        <f>40183+(3*365)</f>
        <v>41278</v>
      </c>
      <c r="D2429" s="18" t="s">
        <v>71</v>
      </c>
      <c r="E2429" s="18" t="s">
        <v>64</v>
      </c>
      <c r="F2429" s="21">
        <v>5004</v>
      </c>
    </row>
    <row r="2430" spans="2:6" x14ac:dyDescent="0.25">
      <c r="B2430" s="18" t="s">
        <v>25</v>
      </c>
      <c r="C2430" s="19">
        <f>40557+(3*365)</f>
        <v>41652</v>
      </c>
      <c r="D2430" s="18" t="s">
        <v>78</v>
      </c>
      <c r="E2430" s="18" t="s">
        <v>64</v>
      </c>
      <c r="F2430" s="21">
        <v>11024</v>
      </c>
    </row>
    <row r="2431" spans="2:6" x14ac:dyDescent="0.25">
      <c r="B2431" s="18" t="s">
        <v>25</v>
      </c>
      <c r="C2431" s="19">
        <f>40005+(3*365)</f>
        <v>41100</v>
      </c>
      <c r="D2431" s="18" t="s">
        <v>79</v>
      </c>
      <c r="E2431" s="18" t="s">
        <v>69</v>
      </c>
      <c r="F2431" s="21">
        <v>3120</v>
      </c>
    </row>
    <row r="2432" spans="2:6" x14ac:dyDescent="0.25">
      <c r="B2432" s="18" t="s">
        <v>18</v>
      </c>
      <c r="C2432" s="19">
        <f>39822+(3*365)</f>
        <v>40917</v>
      </c>
      <c r="D2432" s="18" t="s">
        <v>71</v>
      </c>
      <c r="E2432" s="18" t="s">
        <v>63</v>
      </c>
      <c r="F2432" s="21">
        <v>900</v>
      </c>
    </row>
    <row r="2433" spans="2:6" x14ac:dyDescent="0.25">
      <c r="B2433" s="18" t="s">
        <v>21</v>
      </c>
      <c r="C2433" s="19">
        <f>39992+(3*365)</f>
        <v>41087</v>
      </c>
      <c r="D2433" s="18" t="s">
        <v>58</v>
      </c>
      <c r="E2433" s="18" t="s">
        <v>72</v>
      </c>
      <c r="F2433" s="21">
        <v>152</v>
      </c>
    </row>
    <row r="2434" spans="2:6" x14ac:dyDescent="0.25">
      <c r="B2434" s="18" t="s">
        <v>21</v>
      </c>
      <c r="C2434" s="19">
        <f>40908+(3*365)</f>
        <v>42003</v>
      </c>
      <c r="D2434" s="18" t="s">
        <v>73</v>
      </c>
      <c r="E2434" s="18" t="s">
        <v>61</v>
      </c>
      <c r="F2434" s="21">
        <v>438</v>
      </c>
    </row>
    <row r="2435" spans="2:6" x14ac:dyDescent="0.25">
      <c r="B2435" s="18" t="s">
        <v>21</v>
      </c>
      <c r="C2435" s="19">
        <f>40193+(3*365)</f>
        <v>41288</v>
      </c>
      <c r="D2435" s="18" t="s">
        <v>58</v>
      </c>
      <c r="E2435" s="18" t="s">
        <v>61</v>
      </c>
      <c r="F2435" s="21">
        <v>504</v>
      </c>
    </row>
    <row r="2436" spans="2:6" x14ac:dyDescent="0.25">
      <c r="B2436" s="18" t="s">
        <v>11</v>
      </c>
      <c r="C2436" s="19">
        <f>41157+(3*365)</f>
        <v>42252</v>
      </c>
      <c r="D2436" s="18" t="s">
        <v>60</v>
      </c>
      <c r="E2436" s="18" t="s">
        <v>63</v>
      </c>
      <c r="F2436" s="21">
        <v>1360</v>
      </c>
    </row>
    <row r="2437" spans="2:6" x14ac:dyDescent="0.25">
      <c r="B2437" s="18" t="s">
        <v>21</v>
      </c>
      <c r="C2437" s="19">
        <f>41153+(3*365)</f>
        <v>42248</v>
      </c>
      <c r="D2437" s="18" t="s">
        <v>73</v>
      </c>
      <c r="E2437" s="18" t="s">
        <v>69</v>
      </c>
      <c r="F2437" s="21">
        <v>6948</v>
      </c>
    </row>
    <row r="2438" spans="2:6" x14ac:dyDescent="0.25">
      <c r="B2438" s="18" t="s">
        <v>8</v>
      </c>
      <c r="C2438" s="19">
        <f>39935+(3*365)</f>
        <v>41030</v>
      </c>
      <c r="D2438" s="18" t="s">
        <v>81</v>
      </c>
      <c r="E2438" s="18" t="s">
        <v>61</v>
      </c>
      <c r="F2438" s="21">
        <v>711</v>
      </c>
    </row>
    <row r="2439" spans="2:6" x14ac:dyDescent="0.25">
      <c r="B2439" s="18" t="s">
        <v>8</v>
      </c>
      <c r="C2439" s="19">
        <f>40071+(3*365)</f>
        <v>41166</v>
      </c>
      <c r="D2439" s="18" t="s">
        <v>77</v>
      </c>
      <c r="E2439" s="18" t="s">
        <v>75</v>
      </c>
      <c r="F2439" s="21">
        <v>144</v>
      </c>
    </row>
    <row r="2440" spans="2:6" x14ac:dyDescent="0.25">
      <c r="B2440" s="18" t="s">
        <v>31</v>
      </c>
      <c r="C2440" s="19">
        <f>39920+(3*365)</f>
        <v>41015</v>
      </c>
      <c r="D2440" s="18" t="s">
        <v>70</v>
      </c>
      <c r="E2440" s="18" t="s">
        <v>59</v>
      </c>
      <c r="F2440" s="21">
        <v>234</v>
      </c>
    </row>
    <row r="2441" spans="2:6" x14ac:dyDescent="0.25">
      <c r="B2441" s="18" t="s">
        <v>25</v>
      </c>
      <c r="C2441" s="19">
        <f>40863+(3*365)</f>
        <v>41958</v>
      </c>
      <c r="D2441" s="18" t="s">
        <v>78</v>
      </c>
      <c r="E2441" s="18" t="s">
        <v>66</v>
      </c>
      <c r="F2441" s="21">
        <v>1120</v>
      </c>
    </row>
    <row r="2442" spans="2:6" x14ac:dyDescent="0.25">
      <c r="B2442" s="18" t="s">
        <v>21</v>
      </c>
      <c r="C2442" s="19">
        <f>40369+(3*365)</f>
        <v>41464</v>
      </c>
      <c r="D2442" s="18" t="s">
        <v>73</v>
      </c>
      <c r="E2442" s="18" t="s">
        <v>75</v>
      </c>
      <c r="F2442" s="21">
        <v>288</v>
      </c>
    </row>
    <row r="2443" spans="2:6" x14ac:dyDescent="0.25">
      <c r="B2443" s="18" t="s">
        <v>31</v>
      </c>
      <c r="C2443" s="19">
        <f>40668+(3*365)</f>
        <v>41763</v>
      </c>
      <c r="D2443" s="18" t="s">
        <v>76</v>
      </c>
      <c r="E2443" s="18" t="s">
        <v>64</v>
      </c>
      <c r="F2443" s="21">
        <v>9963</v>
      </c>
    </row>
    <row r="2444" spans="2:6" x14ac:dyDescent="0.25">
      <c r="B2444" s="18" t="s">
        <v>25</v>
      </c>
      <c r="C2444" s="19">
        <f>40994+(3*365)</f>
        <v>42089</v>
      </c>
      <c r="D2444" s="18" t="s">
        <v>79</v>
      </c>
      <c r="E2444" s="18" t="s">
        <v>69</v>
      </c>
      <c r="F2444" s="21">
        <v>1358</v>
      </c>
    </row>
    <row r="2445" spans="2:6" x14ac:dyDescent="0.25">
      <c r="B2445" s="18" t="s">
        <v>9</v>
      </c>
      <c r="C2445" s="19">
        <f>41053+(3*365)</f>
        <v>42148</v>
      </c>
      <c r="D2445" s="18" t="s">
        <v>80</v>
      </c>
      <c r="E2445" s="18" t="s">
        <v>63</v>
      </c>
      <c r="F2445" s="21">
        <v>322</v>
      </c>
    </row>
    <row r="2446" spans="2:6" x14ac:dyDescent="0.25">
      <c r="B2446" s="18" t="s">
        <v>10</v>
      </c>
      <c r="C2446" s="19">
        <f>40665+(3*365)</f>
        <v>41760</v>
      </c>
      <c r="D2446" s="18" t="s">
        <v>67</v>
      </c>
      <c r="E2446" s="18" t="s">
        <v>63</v>
      </c>
      <c r="F2446" s="21">
        <v>138</v>
      </c>
    </row>
    <row r="2447" spans="2:6" x14ac:dyDescent="0.25">
      <c r="B2447" s="18" t="s">
        <v>18</v>
      </c>
      <c r="C2447" s="19">
        <f>40932+(3*365)</f>
        <v>42027</v>
      </c>
      <c r="D2447" s="18" t="s">
        <v>68</v>
      </c>
      <c r="E2447" s="18" t="s">
        <v>59</v>
      </c>
      <c r="F2447" s="21">
        <v>114</v>
      </c>
    </row>
    <row r="2448" spans="2:6" x14ac:dyDescent="0.25">
      <c r="B2448" s="18" t="s">
        <v>25</v>
      </c>
      <c r="C2448" s="19">
        <f>40235+(3*365)</f>
        <v>41330</v>
      </c>
      <c r="D2448" s="18" t="s">
        <v>79</v>
      </c>
      <c r="E2448" s="18" t="s">
        <v>69</v>
      </c>
      <c r="F2448" s="21">
        <v>3075</v>
      </c>
    </row>
    <row r="2449" spans="2:6" x14ac:dyDescent="0.25">
      <c r="B2449" s="18" t="s">
        <v>11</v>
      </c>
      <c r="C2449" s="19">
        <f>40503+(3*365)</f>
        <v>41598</v>
      </c>
      <c r="D2449" s="18" t="s">
        <v>74</v>
      </c>
      <c r="E2449" s="18" t="s">
        <v>63</v>
      </c>
      <c r="F2449" s="21">
        <v>720</v>
      </c>
    </row>
    <row r="2450" spans="2:6" x14ac:dyDescent="0.25">
      <c r="B2450" s="18" t="s">
        <v>25</v>
      </c>
      <c r="C2450" s="19">
        <f>39970+(3*365)</f>
        <v>41065</v>
      </c>
      <c r="D2450" s="18" t="s">
        <v>78</v>
      </c>
      <c r="E2450" s="18" t="s">
        <v>66</v>
      </c>
      <c r="F2450" s="21">
        <v>1224</v>
      </c>
    </row>
    <row r="2451" spans="2:6" x14ac:dyDescent="0.25">
      <c r="B2451" s="18" t="s">
        <v>21</v>
      </c>
      <c r="C2451" s="19">
        <f>40946+(3*365)</f>
        <v>42041</v>
      </c>
      <c r="D2451" s="18" t="s">
        <v>73</v>
      </c>
      <c r="E2451" s="18" t="s">
        <v>63</v>
      </c>
      <c r="F2451" s="21">
        <v>320</v>
      </c>
    </row>
    <row r="2452" spans="2:6" x14ac:dyDescent="0.25">
      <c r="B2452" s="18" t="s">
        <v>18</v>
      </c>
      <c r="C2452" s="19">
        <f>40611+(3*365)</f>
        <v>41706</v>
      </c>
      <c r="D2452" s="18" t="s">
        <v>68</v>
      </c>
      <c r="E2452" s="18" t="s">
        <v>64</v>
      </c>
      <c r="F2452" s="21">
        <v>3060</v>
      </c>
    </row>
    <row r="2453" spans="2:6" x14ac:dyDescent="0.25">
      <c r="B2453" s="18" t="s">
        <v>25</v>
      </c>
      <c r="C2453" s="19">
        <f>39837+(3*365)</f>
        <v>40932</v>
      </c>
      <c r="D2453" s="18" t="s">
        <v>78</v>
      </c>
      <c r="E2453" s="18" t="s">
        <v>66</v>
      </c>
      <c r="F2453" s="21">
        <v>308</v>
      </c>
    </row>
    <row r="2454" spans="2:6" x14ac:dyDescent="0.25">
      <c r="B2454" s="18" t="s">
        <v>21</v>
      </c>
      <c r="C2454" s="19">
        <f>39816+(3*365)</f>
        <v>40911</v>
      </c>
      <c r="D2454" s="18" t="s">
        <v>73</v>
      </c>
      <c r="E2454" s="18" t="s">
        <v>61</v>
      </c>
      <c r="F2454" s="21">
        <v>300</v>
      </c>
    </row>
    <row r="2455" spans="2:6" x14ac:dyDescent="0.25">
      <c r="B2455" s="18" t="s">
        <v>11</v>
      </c>
      <c r="C2455" s="19">
        <f>40367+(3*365)</f>
        <v>41462</v>
      </c>
      <c r="D2455" s="18" t="s">
        <v>74</v>
      </c>
      <c r="E2455" s="18" t="s">
        <v>75</v>
      </c>
      <c r="F2455" s="21">
        <v>231</v>
      </c>
    </row>
    <row r="2456" spans="2:6" x14ac:dyDescent="0.25">
      <c r="B2456" s="18" t="s">
        <v>21</v>
      </c>
      <c r="C2456" s="19">
        <f>40571+(3*365)</f>
        <v>41666</v>
      </c>
      <c r="D2456" s="18" t="s">
        <v>58</v>
      </c>
      <c r="E2456" s="18" t="s">
        <v>66</v>
      </c>
      <c r="F2456" s="21">
        <v>966</v>
      </c>
    </row>
    <row r="2457" spans="2:6" x14ac:dyDescent="0.25">
      <c r="B2457" s="18" t="s">
        <v>10</v>
      </c>
      <c r="C2457" s="19">
        <f>40869+(3*365)</f>
        <v>41964</v>
      </c>
      <c r="D2457" s="18" t="s">
        <v>67</v>
      </c>
      <c r="E2457" s="18" t="s">
        <v>64</v>
      </c>
      <c r="F2457" s="21">
        <v>5880</v>
      </c>
    </row>
    <row r="2458" spans="2:6" x14ac:dyDescent="0.25">
      <c r="B2458" s="18" t="s">
        <v>21</v>
      </c>
      <c r="C2458" s="19">
        <f>40116+(3*365)</f>
        <v>41211</v>
      </c>
      <c r="D2458" s="18" t="s">
        <v>73</v>
      </c>
      <c r="E2458" s="18" t="s">
        <v>72</v>
      </c>
      <c r="F2458" s="21">
        <v>2538</v>
      </c>
    </row>
    <row r="2459" spans="2:6" x14ac:dyDescent="0.25">
      <c r="B2459" s="18" t="s">
        <v>9</v>
      </c>
      <c r="C2459" s="19">
        <f>39818+(3*365)</f>
        <v>40913</v>
      </c>
      <c r="D2459" s="18" t="s">
        <v>62</v>
      </c>
      <c r="E2459" s="18" t="s">
        <v>75</v>
      </c>
      <c r="F2459" s="21">
        <v>480</v>
      </c>
    </row>
    <row r="2460" spans="2:6" x14ac:dyDescent="0.25">
      <c r="B2460" s="18" t="s">
        <v>21</v>
      </c>
      <c r="C2460" s="19">
        <f>40072+(3*365)</f>
        <v>41167</v>
      </c>
      <c r="D2460" s="18" t="s">
        <v>73</v>
      </c>
      <c r="E2460" s="18" t="s">
        <v>66</v>
      </c>
      <c r="F2460" s="21">
        <v>132</v>
      </c>
    </row>
    <row r="2461" spans="2:6" x14ac:dyDescent="0.25">
      <c r="B2461" s="18" t="s">
        <v>11</v>
      </c>
      <c r="C2461" s="19">
        <f>40485+(3*365)</f>
        <v>41580</v>
      </c>
      <c r="D2461" s="18" t="s">
        <v>60</v>
      </c>
      <c r="E2461" s="18" t="s">
        <v>69</v>
      </c>
      <c r="F2461" s="21">
        <v>792</v>
      </c>
    </row>
    <row r="2462" spans="2:6" x14ac:dyDescent="0.25">
      <c r="B2462" s="18" t="s">
        <v>8</v>
      </c>
      <c r="C2462" s="19">
        <f>40343+(3*365)</f>
        <v>41438</v>
      </c>
      <c r="D2462" s="18" t="s">
        <v>77</v>
      </c>
      <c r="E2462" s="18" t="s">
        <v>63</v>
      </c>
      <c r="F2462" s="21">
        <v>672</v>
      </c>
    </row>
    <row r="2463" spans="2:6" x14ac:dyDescent="0.25">
      <c r="B2463" s="18" t="s">
        <v>31</v>
      </c>
      <c r="C2463" s="19">
        <f>39917+(3*365)</f>
        <v>41012</v>
      </c>
      <c r="D2463" s="18" t="s">
        <v>76</v>
      </c>
      <c r="E2463" s="18" t="s">
        <v>64</v>
      </c>
      <c r="F2463" s="21">
        <v>6540</v>
      </c>
    </row>
    <row r="2464" spans="2:6" x14ac:dyDescent="0.25">
      <c r="B2464" s="18" t="s">
        <v>10</v>
      </c>
      <c r="C2464" s="19">
        <f>40217+(3*365)</f>
        <v>41312</v>
      </c>
      <c r="D2464" s="18" t="s">
        <v>65</v>
      </c>
      <c r="E2464" s="18" t="s">
        <v>64</v>
      </c>
      <c r="F2464" s="21">
        <v>3900</v>
      </c>
    </row>
    <row r="2465" spans="2:6" x14ac:dyDescent="0.25">
      <c r="B2465" s="18" t="s">
        <v>21</v>
      </c>
      <c r="C2465" s="19">
        <f>40698+(3*365)</f>
        <v>41793</v>
      </c>
      <c r="D2465" s="18" t="s">
        <v>58</v>
      </c>
      <c r="E2465" s="18" t="s">
        <v>63</v>
      </c>
      <c r="F2465" s="21">
        <v>486</v>
      </c>
    </row>
    <row r="2466" spans="2:6" x14ac:dyDescent="0.25">
      <c r="B2466" s="18" t="s">
        <v>25</v>
      </c>
      <c r="C2466" s="19">
        <f>40668+(3*365)</f>
        <v>41763</v>
      </c>
      <c r="D2466" s="18" t="s">
        <v>78</v>
      </c>
      <c r="E2466" s="18" t="s">
        <v>63</v>
      </c>
      <c r="F2466" s="21">
        <v>564</v>
      </c>
    </row>
    <row r="2467" spans="2:6" x14ac:dyDescent="0.25">
      <c r="B2467" s="18" t="s">
        <v>11</v>
      </c>
      <c r="C2467" s="19">
        <f>40459+(3*365)</f>
        <v>41554</v>
      </c>
      <c r="D2467" s="18" t="s">
        <v>60</v>
      </c>
      <c r="E2467" s="18" t="s">
        <v>75</v>
      </c>
      <c r="F2467" s="21">
        <v>348</v>
      </c>
    </row>
    <row r="2468" spans="2:6" x14ac:dyDescent="0.25">
      <c r="B2468" s="18" t="s">
        <v>18</v>
      </c>
      <c r="C2468" s="19">
        <f>40090+(3*365)</f>
        <v>41185</v>
      </c>
      <c r="D2468" s="18" t="s">
        <v>68</v>
      </c>
      <c r="E2468" s="18" t="s">
        <v>61</v>
      </c>
      <c r="F2468" s="21">
        <v>408</v>
      </c>
    </row>
    <row r="2469" spans="2:6" x14ac:dyDescent="0.25">
      <c r="B2469" s="18" t="s">
        <v>11</v>
      </c>
      <c r="C2469" s="19">
        <f>40685+(3*365)</f>
        <v>41780</v>
      </c>
      <c r="D2469" s="18" t="s">
        <v>74</v>
      </c>
      <c r="E2469" s="18" t="s">
        <v>61</v>
      </c>
      <c r="F2469" s="21">
        <v>1536</v>
      </c>
    </row>
    <row r="2470" spans="2:6" x14ac:dyDescent="0.25">
      <c r="B2470" s="18" t="s">
        <v>9</v>
      </c>
      <c r="C2470" s="19">
        <f>40235+(3*365)</f>
        <v>41330</v>
      </c>
      <c r="D2470" s="18" t="s">
        <v>62</v>
      </c>
      <c r="E2470" s="18" t="s">
        <v>64</v>
      </c>
      <c r="F2470" s="21">
        <v>1318</v>
      </c>
    </row>
    <row r="2471" spans="2:6" x14ac:dyDescent="0.25">
      <c r="B2471" s="18" t="s">
        <v>21</v>
      </c>
      <c r="C2471" s="19">
        <f>39915+(3*365)</f>
        <v>41010</v>
      </c>
      <c r="D2471" s="18" t="s">
        <v>73</v>
      </c>
      <c r="E2471" s="18" t="s">
        <v>59</v>
      </c>
      <c r="F2471" s="21">
        <v>65</v>
      </c>
    </row>
    <row r="2472" spans="2:6" x14ac:dyDescent="0.25">
      <c r="B2472" s="18" t="s">
        <v>8</v>
      </c>
      <c r="C2472" s="19">
        <f>41196+(3*365)</f>
        <v>42291</v>
      </c>
      <c r="D2472" s="18" t="s">
        <v>77</v>
      </c>
      <c r="E2472" s="18" t="s">
        <v>66</v>
      </c>
      <c r="F2472" s="21">
        <v>188</v>
      </c>
    </row>
    <row r="2473" spans="2:6" x14ac:dyDescent="0.25">
      <c r="B2473" s="18" t="s">
        <v>18</v>
      </c>
      <c r="C2473" s="19">
        <f>39899+(3*365)</f>
        <v>40994</v>
      </c>
      <c r="D2473" s="18" t="s">
        <v>68</v>
      </c>
      <c r="E2473" s="18" t="s">
        <v>61</v>
      </c>
      <c r="F2473" s="21">
        <v>304</v>
      </c>
    </row>
    <row r="2474" spans="2:6" x14ac:dyDescent="0.25">
      <c r="B2474" s="18" t="s">
        <v>8</v>
      </c>
      <c r="C2474" s="19">
        <f>40896+(3*365)</f>
        <v>41991</v>
      </c>
      <c r="D2474" s="18" t="s">
        <v>81</v>
      </c>
      <c r="E2474" s="18" t="s">
        <v>61</v>
      </c>
      <c r="F2474" s="21">
        <v>1160</v>
      </c>
    </row>
    <row r="2475" spans="2:6" x14ac:dyDescent="0.25">
      <c r="B2475" s="18" t="s">
        <v>21</v>
      </c>
      <c r="C2475" s="19">
        <f>41237+(3*365)</f>
        <v>42332</v>
      </c>
      <c r="D2475" s="18" t="s">
        <v>73</v>
      </c>
      <c r="E2475" s="18" t="s">
        <v>64</v>
      </c>
      <c r="F2475" s="21">
        <v>4272</v>
      </c>
    </row>
    <row r="2476" spans="2:6" x14ac:dyDescent="0.25">
      <c r="B2476" s="18" t="s">
        <v>31</v>
      </c>
      <c r="C2476" s="19">
        <f>40801+(3*365)</f>
        <v>41896</v>
      </c>
      <c r="D2476" s="18" t="s">
        <v>70</v>
      </c>
      <c r="E2476" s="18" t="s">
        <v>69</v>
      </c>
      <c r="F2476" s="21">
        <v>333</v>
      </c>
    </row>
    <row r="2477" spans="2:6" x14ac:dyDescent="0.25">
      <c r="B2477" s="18" t="s">
        <v>18</v>
      </c>
      <c r="C2477" s="19">
        <f>41274+(3*365)</f>
        <v>42369</v>
      </c>
      <c r="D2477" s="18" t="s">
        <v>68</v>
      </c>
      <c r="E2477" s="18" t="s">
        <v>69</v>
      </c>
      <c r="F2477" s="21">
        <v>882</v>
      </c>
    </row>
    <row r="2478" spans="2:6" x14ac:dyDescent="0.25">
      <c r="B2478" s="18" t="s">
        <v>25</v>
      </c>
      <c r="C2478" s="19">
        <f>40956+(3*365)</f>
        <v>42051</v>
      </c>
      <c r="D2478" s="18" t="s">
        <v>79</v>
      </c>
      <c r="E2478" s="18" t="s">
        <v>75</v>
      </c>
      <c r="F2478" s="21">
        <v>30</v>
      </c>
    </row>
    <row r="2479" spans="2:6" x14ac:dyDescent="0.25">
      <c r="B2479" s="18" t="s">
        <v>9</v>
      </c>
      <c r="C2479" s="19">
        <f>40887+(3*365)</f>
        <v>41982</v>
      </c>
      <c r="D2479" s="18" t="s">
        <v>80</v>
      </c>
      <c r="E2479" s="18" t="s">
        <v>72</v>
      </c>
      <c r="F2479" s="21">
        <v>1470</v>
      </c>
    </row>
    <row r="2480" spans="2:6" x14ac:dyDescent="0.25">
      <c r="B2480" s="18" t="s">
        <v>11</v>
      </c>
      <c r="C2480" s="19">
        <f>40653+(3*365)</f>
        <v>41748</v>
      </c>
      <c r="D2480" s="18" t="s">
        <v>60</v>
      </c>
      <c r="E2480" s="18" t="s">
        <v>61</v>
      </c>
      <c r="F2480" s="21">
        <v>450</v>
      </c>
    </row>
    <row r="2481" spans="2:6" x14ac:dyDescent="0.25">
      <c r="B2481" s="18" t="s">
        <v>21</v>
      </c>
      <c r="C2481" s="19">
        <f>41030+(3*365)</f>
        <v>42125</v>
      </c>
      <c r="D2481" s="18" t="s">
        <v>73</v>
      </c>
      <c r="E2481" s="18" t="s">
        <v>59</v>
      </c>
      <c r="F2481" s="21">
        <v>280</v>
      </c>
    </row>
    <row r="2482" spans="2:6" x14ac:dyDescent="0.25">
      <c r="B2482" s="18" t="s">
        <v>31</v>
      </c>
      <c r="C2482" s="19">
        <f>40601+(3*365)</f>
        <v>41696</v>
      </c>
      <c r="D2482" s="18" t="s">
        <v>76</v>
      </c>
      <c r="E2482" s="18" t="s">
        <v>63</v>
      </c>
      <c r="F2482" s="21">
        <v>672</v>
      </c>
    </row>
    <row r="2483" spans="2:6" x14ac:dyDescent="0.25">
      <c r="B2483" s="18" t="s">
        <v>8</v>
      </c>
      <c r="C2483" s="19">
        <f>39850+(3*365)</f>
        <v>40945</v>
      </c>
      <c r="D2483" s="18" t="s">
        <v>81</v>
      </c>
      <c r="E2483" s="18" t="s">
        <v>63</v>
      </c>
      <c r="F2483" s="21">
        <v>483</v>
      </c>
    </row>
    <row r="2484" spans="2:6" x14ac:dyDescent="0.25">
      <c r="B2484" s="18" t="s">
        <v>25</v>
      </c>
      <c r="C2484" s="19">
        <f>40974+(3*365)</f>
        <v>42069</v>
      </c>
      <c r="D2484" s="18" t="s">
        <v>78</v>
      </c>
      <c r="E2484" s="18" t="s">
        <v>63</v>
      </c>
      <c r="F2484" s="21">
        <v>532</v>
      </c>
    </row>
    <row r="2485" spans="2:6" x14ac:dyDescent="0.25">
      <c r="B2485" s="18" t="s">
        <v>9</v>
      </c>
      <c r="C2485" s="19">
        <f>40173+(3*365)</f>
        <v>41268</v>
      </c>
      <c r="D2485" s="18" t="s">
        <v>62</v>
      </c>
      <c r="E2485" s="18" t="s">
        <v>66</v>
      </c>
      <c r="F2485" s="21">
        <v>164</v>
      </c>
    </row>
    <row r="2486" spans="2:6" x14ac:dyDescent="0.25">
      <c r="B2486" s="18" t="s">
        <v>10</v>
      </c>
      <c r="C2486" s="19">
        <f>40991+(3*365)</f>
        <v>42086</v>
      </c>
      <c r="D2486" s="18" t="s">
        <v>67</v>
      </c>
      <c r="E2486" s="18" t="s">
        <v>64</v>
      </c>
      <c r="F2486" s="21">
        <v>3978</v>
      </c>
    </row>
    <row r="2487" spans="2:6" x14ac:dyDescent="0.25">
      <c r="B2487" s="18" t="s">
        <v>21</v>
      </c>
      <c r="C2487" s="19">
        <f>40279+(3*365)</f>
        <v>41374</v>
      </c>
      <c r="D2487" s="18" t="s">
        <v>58</v>
      </c>
      <c r="E2487" s="18" t="s">
        <v>61</v>
      </c>
      <c r="F2487" s="21">
        <v>504</v>
      </c>
    </row>
    <row r="2488" spans="2:6" x14ac:dyDescent="0.25">
      <c r="B2488" s="18" t="s">
        <v>10</v>
      </c>
      <c r="C2488" s="19">
        <f>40409+(3*365)</f>
        <v>41504</v>
      </c>
      <c r="D2488" s="18" t="s">
        <v>67</v>
      </c>
      <c r="E2488" s="18" t="s">
        <v>61</v>
      </c>
      <c r="F2488" s="21">
        <v>486</v>
      </c>
    </row>
    <row r="2489" spans="2:6" x14ac:dyDescent="0.25">
      <c r="B2489" s="18" t="s">
        <v>8</v>
      </c>
      <c r="C2489" s="19">
        <f>41093+(3*365)</f>
        <v>42188</v>
      </c>
      <c r="D2489" s="18" t="s">
        <v>81</v>
      </c>
      <c r="E2489" s="18" t="s">
        <v>61</v>
      </c>
      <c r="F2489" s="21">
        <v>2304</v>
      </c>
    </row>
    <row r="2490" spans="2:6" x14ac:dyDescent="0.25">
      <c r="B2490" s="18" t="s">
        <v>10</v>
      </c>
      <c r="C2490" s="19">
        <f>40647+(3*365)</f>
        <v>41742</v>
      </c>
      <c r="D2490" s="18" t="s">
        <v>65</v>
      </c>
      <c r="E2490" s="18" t="s">
        <v>59</v>
      </c>
      <c r="F2490" s="21">
        <v>252</v>
      </c>
    </row>
    <row r="2491" spans="2:6" x14ac:dyDescent="0.25">
      <c r="B2491" s="18" t="s">
        <v>11</v>
      </c>
      <c r="C2491" s="19">
        <f>39844+(3*365)</f>
        <v>40939</v>
      </c>
      <c r="D2491" s="18" t="s">
        <v>60</v>
      </c>
      <c r="E2491" s="18" t="s">
        <v>75</v>
      </c>
      <c r="F2491" s="21">
        <v>270</v>
      </c>
    </row>
    <row r="2492" spans="2:6" x14ac:dyDescent="0.25">
      <c r="B2492" s="18" t="s">
        <v>11</v>
      </c>
      <c r="C2492" s="19">
        <f>40643+(3*365)</f>
        <v>41738</v>
      </c>
      <c r="D2492" s="18" t="s">
        <v>60</v>
      </c>
      <c r="E2492" s="18" t="s">
        <v>72</v>
      </c>
      <c r="F2492" s="21">
        <v>918</v>
      </c>
    </row>
    <row r="2493" spans="2:6" x14ac:dyDescent="0.25">
      <c r="B2493" s="18" t="s">
        <v>11</v>
      </c>
      <c r="C2493" s="19">
        <f>39976+(3*365)</f>
        <v>41071</v>
      </c>
      <c r="D2493" s="18" t="s">
        <v>60</v>
      </c>
      <c r="E2493" s="18" t="s">
        <v>64</v>
      </c>
      <c r="F2493" s="21">
        <v>3534</v>
      </c>
    </row>
    <row r="2494" spans="2:6" x14ac:dyDescent="0.25">
      <c r="B2494" s="18" t="s">
        <v>10</v>
      </c>
      <c r="C2494" s="19">
        <f>40961+(3*365)</f>
        <v>42056</v>
      </c>
      <c r="D2494" s="18" t="s">
        <v>67</v>
      </c>
      <c r="E2494" s="18" t="s">
        <v>75</v>
      </c>
      <c r="F2494" s="21">
        <v>504</v>
      </c>
    </row>
    <row r="2495" spans="2:6" x14ac:dyDescent="0.25">
      <c r="B2495" s="18" t="s">
        <v>25</v>
      </c>
      <c r="C2495" s="19">
        <f>40329+(3*365)</f>
        <v>41424</v>
      </c>
      <c r="D2495" s="18" t="s">
        <v>78</v>
      </c>
      <c r="E2495" s="18" t="s">
        <v>69</v>
      </c>
      <c r="F2495" s="21">
        <v>3696</v>
      </c>
    </row>
    <row r="2496" spans="2:6" x14ac:dyDescent="0.25">
      <c r="B2496" s="18" t="s">
        <v>31</v>
      </c>
      <c r="C2496" s="19">
        <f>41045+(3*365)</f>
        <v>42140</v>
      </c>
      <c r="D2496" s="18" t="s">
        <v>76</v>
      </c>
      <c r="E2496" s="18" t="s">
        <v>66</v>
      </c>
      <c r="F2496" s="21">
        <v>612</v>
      </c>
    </row>
    <row r="2497" spans="2:6" x14ac:dyDescent="0.25">
      <c r="B2497" s="18" t="s">
        <v>31</v>
      </c>
      <c r="C2497" s="19">
        <f>40349+(3*365)</f>
        <v>41444</v>
      </c>
      <c r="D2497" s="18" t="s">
        <v>76</v>
      </c>
      <c r="E2497" s="18" t="s">
        <v>64</v>
      </c>
      <c r="F2497" s="21">
        <v>3087</v>
      </c>
    </row>
    <row r="2498" spans="2:6" x14ac:dyDescent="0.25">
      <c r="B2498" s="18" t="s">
        <v>10</v>
      </c>
      <c r="C2498" s="19">
        <f>40499+(3*365)</f>
        <v>41594</v>
      </c>
      <c r="D2498" s="18" t="s">
        <v>65</v>
      </c>
      <c r="E2498" s="18" t="s">
        <v>66</v>
      </c>
      <c r="F2498" s="21">
        <v>1290</v>
      </c>
    </row>
    <row r="2499" spans="2:6" x14ac:dyDescent="0.25">
      <c r="B2499" s="18" t="s">
        <v>8</v>
      </c>
      <c r="C2499" s="19">
        <f>40701+(3*365)</f>
        <v>41796</v>
      </c>
      <c r="D2499" s="18" t="s">
        <v>81</v>
      </c>
      <c r="E2499" s="18" t="s">
        <v>69</v>
      </c>
      <c r="F2499" s="21">
        <v>1060</v>
      </c>
    </row>
    <row r="2500" spans="2:6" x14ac:dyDescent="0.25">
      <c r="B2500" s="18" t="s">
        <v>21</v>
      </c>
      <c r="C2500" s="19">
        <f>39935+(3*365)</f>
        <v>41030</v>
      </c>
      <c r="D2500" s="18" t="s">
        <v>73</v>
      </c>
      <c r="E2500" s="18" t="s">
        <v>66</v>
      </c>
      <c r="F2500" s="21">
        <v>160</v>
      </c>
    </row>
    <row r="2501" spans="2:6" x14ac:dyDescent="0.25">
      <c r="B2501" s="18" t="s">
        <v>18</v>
      </c>
      <c r="C2501" s="19">
        <f>39864+(3*365)</f>
        <v>40959</v>
      </c>
      <c r="D2501" s="18" t="s">
        <v>68</v>
      </c>
      <c r="E2501" s="18" t="s">
        <v>72</v>
      </c>
      <c r="F2501" s="21">
        <v>1860</v>
      </c>
    </row>
    <row r="2502" spans="2:6" x14ac:dyDescent="0.25">
      <c r="B2502" s="18" t="s">
        <v>11</v>
      </c>
      <c r="C2502" s="19">
        <f>41113+(3*365)</f>
        <v>42208</v>
      </c>
      <c r="D2502" s="18" t="s">
        <v>74</v>
      </c>
      <c r="E2502" s="18" t="s">
        <v>59</v>
      </c>
      <c r="F2502" s="21">
        <v>304</v>
      </c>
    </row>
    <row r="2503" spans="2:6" x14ac:dyDescent="0.25">
      <c r="B2503" s="18" t="s">
        <v>11</v>
      </c>
      <c r="C2503" s="19">
        <f>40134+(3*365)</f>
        <v>41229</v>
      </c>
      <c r="D2503" s="18" t="s">
        <v>74</v>
      </c>
      <c r="E2503" s="18" t="s">
        <v>75</v>
      </c>
      <c r="F2503" s="21">
        <v>312</v>
      </c>
    </row>
    <row r="2504" spans="2:6" x14ac:dyDescent="0.25">
      <c r="B2504" s="18" t="s">
        <v>10</v>
      </c>
      <c r="C2504" s="19">
        <f>40120+(3*365)</f>
        <v>41215</v>
      </c>
      <c r="D2504" s="18" t="s">
        <v>67</v>
      </c>
      <c r="E2504" s="18" t="s">
        <v>75</v>
      </c>
      <c r="F2504" s="21">
        <v>224</v>
      </c>
    </row>
    <row r="2505" spans="2:6" x14ac:dyDescent="0.25">
      <c r="B2505" s="18" t="s">
        <v>25</v>
      </c>
      <c r="C2505" s="19">
        <f>41242+(3*365)</f>
        <v>42337</v>
      </c>
      <c r="D2505" s="18" t="s">
        <v>78</v>
      </c>
      <c r="E2505" s="18" t="s">
        <v>75</v>
      </c>
      <c r="F2505" s="21">
        <v>66</v>
      </c>
    </row>
    <row r="2506" spans="2:6" x14ac:dyDescent="0.25">
      <c r="B2506" s="18" t="s">
        <v>8</v>
      </c>
      <c r="C2506" s="19">
        <f>40861+(3*365)</f>
        <v>41956</v>
      </c>
      <c r="D2506" s="18" t="s">
        <v>77</v>
      </c>
      <c r="E2506" s="18" t="s">
        <v>75</v>
      </c>
      <c r="F2506" s="21">
        <v>504</v>
      </c>
    </row>
    <row r="2507" spans="2:6" x14ac:dyDescent="0.25">
      <c r="B2507" s="18" t="s">
        <v>8</v>
      </c>
      <c r="C2507" s="19">
        <f>41025+(3*365)</f>
        <v>42120</v>
      </c>
      <c r="D2507" s="18" t="s">
        <v>81</v>
      </c>
      <c r="E2507" s="18" t="s">
        <v>61</v>
      </c>
      <c r="F2507" s="21">
        <v>480</v>
      </c>
    </row>
    <row r="2508" spans="2:6" x14ac:dyDescent="0.25">
      <c r="B2508" s="18" t="s">
        <v>31</v>
      </c>
      <c r="C2508" s="19">
        <f>40179+(3*365)</f>
        <v>41274</v>
      </c>
      <c r="D2508" s="18" t="s">
        <v>70</v>
      </c>
      <c r="E2508" s="18" t="s">
        <v>61</v>
      </c>
      <c r="F2508" s="21">
        <v>129</v>
      </c>
    </row>
    <row r="2509" spans="2:6" x14ac:dyDescent="0.25">
      <c r="B2509" s="18" t="s">
        <v>25</v>
      </c>
      <c r="C2509" s="19">
        <f>40809+(3*365)</f>
        <v>41904</v>
      </c>
      <c r="D2509" s="18" t="s">
        <v>79</v>
      </c>
      <c r="E2509" s="18" t="s">
        <v>59</v>
      </c>
      <c r="F2509" s="21">
        <v>272</v>
      </c>
    </row>
    <row r="2510" spans="2:6" x14ac:dyDescent="0.25">
      <c r="B2510" s="18" t="s">
        <v>25</v>
      </c>
      <c r="C2510" s="19">
        <f>40752+(3*365)</f>
        <v>41847</v>
      </c>
      <c r="D2510" s="18" t="s">
        <v>79</v>
      </c>
      <c r="E2510" s="18" t="s">
        <v>69</v>
      </c>
      <c r="F2510" s="21">
        <v>452</v>
      </c>
    </row>
    <row r="2511" spans="2:6" x14ac:dyDescent="0.25">
      <c r="B2511" s="18" t="s">
        <v>10</v>
      </c>
      <c r="C2511" s="19">
        <f>40748+(3*365)</f>
        <v>41843</v>
      </c>
      <c r="D2511" s="18" t="s">
        <v>67</v>
      </c>
      <c r="E2511" s="18" t="s">
        <v>66</v>
      </c>
      <c r="F2511" s="21">
        <v>532</v>
      </c>
    </row>
    <row r="2512" spans="2:6" x14ac:dyDescent="0.25">
      <c r="B2512" s="18" t="s">
        <v>18</v>
      </c>
      <c r="C2512" s="19">
        <f>41198+(3*365)</f>
        <v>42293</v>
      </c>
      <c r="D2512" s="18" t="s">
        <v>71</v>
      </c>
      <c r="E2512" s="18" t="s">
        <v>69</v>
      </c>
      <c r="F2512" s="21">
        <v>2472</v>
      </c>
    </row>
    <row r="2513" spans="2:6" x14ac:dyDescent="0.25">
      <c r="B2513" s="18" t="s">
        <v>31</v>
      </c>
      <c r="C2513" s="19">
        <f>40395+(3*365)</f>
        <v>41490</v>
      </c>
      <c r="D2513" s="18" t="s">
        <v>70</v>
      </c>
      <c r="E2513" s="18" t="s">
        <v>72</v>
      </c>
      <c r="F2513" s="21">
        <v>1530</v>
      </c>
    </row>
    <row r="2514" spans="2:6" x14ac:dyDescent="0.25">
      <c r="B2514" s="18" t="s">
        <v>25</v>
      </c>
      <c r="C2514" s="19">
        <f>39880+(3*365)</f>
        <v>40975</v>
      </c>
      <c r="D2514" s="18" t="s">
        <v>79</v>
      </c>
      <c r="E2514" s="18" t="s">
        <v>69</v>
      </c>
      <c r="F2514" s="21">
        <v>206</v>
      </c>
    </row>
    <row r="2515" spans="2:6" x14ac:dyDescent="0.25">
      <c r="B2515" s="18" t="s">
        <v>8</v>
      </c>
      <c r="C2515" s="19">
        <f>40555+(3*365)</f>
        <v>41650</v>
      </c>
      <c r="D2515" s="18" t="s">
        <v>77</v>
      </c>
      <c r="E2515" s="18" t="s">
        <v>63</v>
      </c>
      <c r="F2515" s="21">
        <v>1408</v>
      </c>
    </row>
    <row r="2516" spans="2:6" x14ac:dyDescent="0.25">
      <c r="B2516" s="18" t="s">
        <v>25</v>
      </c>
      <c r="C2516" s="19">
        <f>41015+(3*365)</f>
        <v>42110</v>
      </c>
      <c r="D2516" s="18" t="s">
        <v>79</v>
      </c>
      <c r="E2516" s="18" t="s">
        <v>72</v>
      </c>
      <c r="F2516" s="21">
        <v>2050</v>
      </c>
    </row>
    <row r="2517" spans="2:6" x14ac:dyDescent="0.25">
      <c r="B2517" s="18" t="s">
        <v>21</v>
      </c>
      <c r="C2517" s="19">
        <f>39863+(3*365)</f>
        <v>40958</v>
      </c>
      <c r="D2517" s="18" t="s">
        <v>73</v>
      </c>
      <c r="E2517" s="18" t="s">
        <v>72</v>
      </c>
      <c r="F2517" s="21">
        <v>972</v>
      </c>
    </row>
    <row r="2518" spans="2:6" x14ac:dyDescent="0.25">
      <c r="B2518" s="18" t="s">
        <v>21</v>
      </c>
      <c r="C2518" s="19">
        <f>39842+(3*365)</f>
        <v>40937</v>
      </c>
      <c r="D2518" s="18" t="s">
        <v>73</v>
      </c>
      <c r="E2518" s="18" t="s">
        <v>69</v>
      </c>
      <c r="F2518" s="21">
        <v>1809</v>
      </c>
    </row>
    <row r="2519" spans="2:6" x14ac:dyDescent="0.25">
      <c r="B2519" s="18" t="s">
        <v>9</v>
      </c>
      <c r="C2519" s="19">
        <f>41012+(3*365)</f>
        <v>42107</v>
      </c>
      <c r="D2519" s="18" t="s">
        <v>80</v>
      </c>
      <c r="E2519" s="18" t="s">
        <v>64</v>
      </c>
      <c r="F2519" s="21">
        <v>735</v>
      </c>
    </row>
    <row r="2520" spans="2:6" x14ac:dyDescent="0.25">
      <c r="B2520" s="18" t="s">
        <v>31</v>
      </c>
      <c r="C2520" s="19">
        <f>40835+(3*365)</f>
        <v>41930</v>
      </c>
      <c r="D2520" s="18" t="s">
        <v>76</v>
      </c>
      <c r="E2520" s="18" t="s">
        <v>59</v>
      </c>
      <c r="F2520" s="21">
        <v>273</v>
      </c>
    </row>
    <row r="2521" spans="2:6" x14ac:dyDescent="0.25">
      <c r="B2521" s="18" t="s">
        <v>10</v>
      </c>
      <c r="C2521" s="19">
        <f>41102+(3*365)</f>
        <v>42197</v>
      </c>
      <c r="D2521" s="18" t="s">
        <v>67</v>
      </c>
      <c r="E2521" s="18" t="s">
        <v>63</v>
      </c>
      <c r="F2521" s="21">
        <v>1113</v>
      </c>
    </row>
    <row r="2522" spans="2:6" x14ac:dyDescent="0.25">
      <c r="B2522" s="18" t="s">
        <v>18</v>
      </c>
      <c r="C2522" s="19">
        <f>40278+(3*365)</f>
        <v>41373</v>
      </c>
      <c r="D2522" s="18" t="s">
        <v>68</v>
      </c>
      <c r="E2522" s="18" t="s">
        <v>59</v>
      </c>
      <c r="F2522" s="21">
        <v>102</v>
      </c>
    </row>
    <row r="2523" spans="2:6" x14ac:dyDescent="0.25">
      <c r="B2523" s="18" t="s">
        <v>11</v>
      </c>
      <c r="C2523" s="19">
        <f>40632+(3*365)</f>
        <v>41727</v>
      </c>
      <c r="D2523" s="18" t="s">
        <v>60</v>
      </c>
      <c r="E2523" s="18" t="s">
        <v>64</v>
      </c>
      <c r="F2523" s="21">
        <v>14928</v>
      </c>
    </row>
    <row r="2524" spans="2:6" x14ac:dyDescent="0.25">
      <c r="B2524" s="18" t="s">
        <v>18</v>
      </c>
      <c r="C2524" s="19">
        <f>40129+(3*365)</f>
        <v>41224</v>
      </c>
      <c r="D2524" s="18" t="s">
        <v>68</v>
      </c>
      <c r="E2524" s="18" t="s">
        <v>61</v>
      </c>
      <c r="F2524" s="21">
        <v>272</v>
      </c>
    </row>
    <row r="2525" spans="2:6" x14ac:dyDescent="0.25">
      <c r="B2525" s="18" t="s">
        <v>10</v>
      </c>
      <c r="C2525" s="19">
        <f>40711+(3*365)</f>
        <v>41806</v>
      </c>
      <c r="D2525" s="18" t="s">
        <v>67</v>
      </c>
      <c r="E2525" s="18" t="s">
        <v>75</v>
      </c>
      <c r="F2525" s="21">
        <v>272</v>
      </c>
    </row>
    <row r="2526" spans="2:6" x14ac:dyDescent="0.25">
      <c r="B2526" s="18" t="s">
        <v>11</v>
      </c>
      <c r="C2526" s="19">
        <f>41072+(3*365)</f>
        <v>42167</v>
      </c>
      <c r="D2526" s="18" t="s">
        <v>60</v>
      </c>
      <c r="E2526" s="18" t="s">
        <v>61</v>
      </c>
      <c r="F2526" s="21">
        <v>756</v>
      </c>
    </row>
    <row r="2527" spans="2:6" x14ac:dyDescent="0.25">
      <c r="B2527" s="18" t="s">
        <v>31</v>
      </c>
      <c r="C2527" s="19">
        <f>40190+(3*365)</f>
        <v>41285</v>
      </c>
      <c r="D2527" s="18" t="s">
        <v>76</v>
      </c>
      <c r="E2527" s="18" t="s">
        <v>66</v>
      </c>
      <c r="F2527" s="21">
        <v>708</v>
      </c>
    </row>
    <row r="2528" spans="2:6" x14ac:dyDescent="0.25">
      <c r="B2528" s="18" t="s">
        <v>18</v>
      </c>
      <c r="C2528" s="19">
        <f>40502+(3*365)</f>
        <v>41597</v>
      </c>
      <c r="D2528" s="18" t="s">
        <v>68</v>
      </c>
      <c r="E2528" s="18" t="s">
        <v>75</v>
      </c>
      <c r="F2528" s="21">
        <v>114</v>
      </c>
    </row>
    <row r="2529" spans="2:6" x14ac:dyDescent="0.25">
      <c r="B2529" s="18" t="s">
        <v>10</v>
      </c>
      <c r="C2529" s="19">
        <f>41069+(3*365)</f>
        <v>42164</v>
      </c>
      <c r="D2529" s="18" t="s">
        <v>67</v>
      </c>
      <c r="E2529" s="18" t="s">
        <v>64</v>
      </c>
      <c r="F2529" s="21">
        <v>6867</v>
      </c>
    </row>
    <row r="2530" spans="2:6" x14ac:dyDescent="0.25">
      <c r="B2530" s="18" t="s">
        <v>31</v>
      </c>
      <c r="C2530" s="19">
        <f>40156+(3*365)</f>
        <v>41251</v>
      </c>
      <c r="D2530" s="18" t="s">
        <v>70</v>
      </c>
      <c r="E2530" s="18" t="s">
        <v>66</v>
      </c>
      <c r="F2530" s="21">
        <v>504</v>
      </c>
    </row>
    <row r="2531" spans="2:6" x14ac:dyDescent="0.25">
      <c r="B2531" s="18" t="s">
        <v>10</v>
      </c>
      <c r="C2531" s="19">
        <f>41268+(3*365)</f>
        <v>42363</v>
      </c>
      <c r="D2531" s="18" t="s">
        <v>67</v>
      </c>
      <c r="E2531" s="18" t="s">
        <v>72</v>
      </c>
      <c r="F2531" s="21">
        <v>3360</v>
      </c>
    </row>
    <row r="2532" spans="2:6" x14ac:dyDescent="0.25">
      <c r="B2532" s="18" t="s">
        <v>11</v>
      </c>
      <c r="C2532" s="19">
        <f>40061+(3*365)</f>
        <v>41156</v>
      </c>
      <c r="D2532" s="18" t="s">
        <v>74</v>
      </c>
      <c r="E2532" s="18" t="s">
        <v>64</v>
      </c>
      <c r="F2532" s="21">
        <v>8370</v>
      </c>
    </row>
    <row r="2533" spans="2:6" x14ac:dyDescent="0.25">
      <c r="B2533" s="18" t="s">
        <v>8</v>
      </c>
      <c r="C2533" s="19">
        <f>40364+(3*365)</f>
        <v>41459</v>
      </c>
      <c r="D2533" s="18" t="s">
        <v>81</v>
      </c>
      <c r="E2533" s="18" t="s">
        <v>72</v>
      </c>
      <c r="F2533" s="21">
        <v>4680</v>
      </c>
    </row>
    <row r="2534" spans="2:6" x14ac:dyDescent="0.25">
      <c r="B2534" s="18" t="s">
        <v>11</v>
      </c>
      <c r="C2534" s="19">
        <f>41108+(3*365)</f>
        <v>42203</v>
      </c>
      <c r="D2534" s="18" t="s">
        <v>60</v>
      </c>
      <c r="E2534" s="18" t="s">
        <v>69</v>
      </c>
      <c r="F2534" s="21">
        <v>6012</v>
      </c>
    </row>
    <row r="2535" spans="2:6" x14ac:dyDescent="0.25">
      <c r="B2535" s="18" t="s">
        <v>8</v>
      </c>
      <c r="C2535" s="19">
        <f>40733+(3*365)</f>
        <v>41828</v>
      </c>
      <c r="D2535" s="18" t="s">
        <v>77</v>
      </c>
      <c r="E2535" s="18" t="s">
        <v>59</v>
      </c>
      <c r="F2535" s="21">
        <v>444</v>
      </c>
    </row>
    <row r="2536" spans="2:6" x14ac:dyDescent="0.25">
      <c r="B2536" s="18" t="s">
        <v>21</v>
      </c>
      <c r="C2536" s="19">
        <f>40972+(3*365)</f>
        <v>42067</v>
      </c>
      <c r="D2536" s="18" t="s">
        <v>73</v>
      </c>
      <c r="E2536" s="18" t="s">
        <v>66</v>
      </c>
      <c r="F2536" s="21">
        <v>664</v>
      </c>
    </row>
    <row r="2537" spans="2:6" x14ac:dyDescent="0.25">
      <c r="B2537" s="18" t="s">
        <v>21</v>
      </c>
      <c r="C2537" s="19">
        <f>40494+(3*365)</f>
        <v>41589</v>
      </c>
      <c r="D2537" s="18" t="s">
        <v>58</v>
      </c>
      <c r="E2537" s="18" t="s">
        <v>72</v>
      </c>
      <c r="F2537" s="21">
        <v>1600</v>
      </c>
    </row>
    <row r="2538" spans="2:6" x14ac:dyDescent="0.25">
      <c r="B2538" s="18" t="s">
        <v>21</v>
      </c>
      <c r="C2538" s="19">
        <f>39842+(3*365)</f>
        <v>40937</v>
      </c>
      <c r="D2538" s="18" t="s">
        <v>58</v>
      </c>
      <c r="E2538" s="18" t="s">
        <v>64</v>
      </c>
      <c r="F2538" s="21">
        <v>664</v>
      </c>
    </row>
    <row r="2539" spans="2:6" x14ac:dyDescent="0.25">
      <c r="B2539" s="18" t="s">
        <v>21</v>
      </c>
      <c r="C2539" s="19">
        <f>40444+(3*365)</f>
        <v>41539</v>
      </c>
      <c r="D2539" s="18" t="s">
        <v>58</v>
      </c>
      <c r="E2539" s="18" t="s">
        <v>66</v>
      </c>
      <c r="F2539" s="21">
        <v>650</v>
      </c>
    </row>
    <row r="2540" spans="2:6" x14ac:dyDescent="0.25">
      <c r="B2540" s="18" t="s">
        <v>11</v>
      </c>
      <c r="C2540" s="19">
        <f>40451+(3*365)</f>
        <v>41546</v>
      </c>
      <c r="D2540" s="18" t="s">
        <v>60</v>
      </c>
      <c r="E2540" s="18" t="s">
        <v>75</v>
      </c>
      <c r="F2540" s="21">
        <v>357</v>
      </c>
    </row>
    <row r="2541" spans="2:6" x14ac:dyDescent="0.25">
      <c r="B2541" s="18" t="s">
        <v>25</v>
      </c>
      <c r="C2541" s="19">
        <f>40574+(3*365)</f>
        <v>41669</v>
      </c>
      <c r="D2541" s="18" t="s">
        <v>79</v>
      </c>
      <c r="E2541" s="18" t="s">
        <v>66</v>
      </c>
      <c r="F2541" s="21">
        <v>528</v>
      </c>
    </row>
    <row r="2542" spans="2:6" x14ac:dyDescent="0.25">
      <c r="B2542" s="18" t="s">
        <v>21</v>
      </c>
      <c r="C2542" s="19">
        <f>40218+(3*365)</f>
        <v>41313</v>
      </c>
      <c r="D2542" s="18" t="s">
        <v>73</v>
      </c>
      <c r="E2542" s="18" t="s">
        <v>72</v>
      </c>
      <c r="F2542" s="21">
        <v>2480</v>
      </c>
    </row>
    <row r="2543" spans="2:6" x14ac:dyDescent="0.25">
      <c r="B2543" s="18" t="s">
        <v>10</v>
      </c>
      <c r="C2543" s="19">
        <f>40705+(3*365)</f>
        <v>41800</v>
      </c>
      <c r="D2543" s="18" t="s">
        <v>65</v>
      </c>
      <c r="E2543" s="18" t="s">
        <v>72</v>
      </c>
      <c r="F2543" s="21">
        <v>224</v>
      </c>
    </row>
    <row r="2544" spans="2:6" x14ac:dyDescent="0.25">
      <c r="B2544" s="18" t="s">
        <v>25</v>
      </c>
      <c r="C2544" s="19">
        <f>41178+(3*365)</f>
        <v>42273</v>
      </c>
      <c r="D2544" s="18" t="s">
        <v>78</v>
      </c>
      <c r="E2544" s="18" t="s">
        <v>75</v>
      </c>
      <c r="F2544" s="21">
        <v>176</v>
      </c>
    </row>
    <row r="2545" spans="2:6" x14ac:dyDescent="0.25">
      <c r="B2545" s="18" t="s">
        <v>10</v>
      </c>
      <c r="C2545" s="19">
        <f>40076+(3*365)</f>
        <v>41171</v>
      </c>
      <c r="D2545" s="18" t="s">
        <v>67</v>
      </c>
      <c r="E2545" s="18" t="s">
        <v>69</v>
      </c>
      <c r="F2545" s="21">
        <v>4448</v>
      </c>
    </row>
    <row r="2546" spans="2:6" x14ac:dyDescent="0.25">
      <c r="B2546" s="18" t="s">
        <v>18</v>
      </c>
      <c r="C2546" s="19">
        <f>40960+(3*365)</f>
        <v>42055</v>
      </c>
      <c r="D2546" s="18" t="s">
        <v>71</v>
      </c>
      <c r="E2546" s="18" t="s">
        <v>72</v>
      </c>
      <c r="F2546" s="21">
        <v>639</v>
      </c>
    </row>
    <row r="2547" spans="2:6" x14ac:dyDescent="0.25">
      <c r="B2547" s="18" t="s">
        <v>31</v>
      </c>
      <c r="C2547" s="19">
        <f>40355+(3*365)</f>
        <v>41450</v>
      </c>
      <c r="D2547" s="18" t="s">
        <v>76</v>
      </c>
      <c r="E2547" s="18" t="s">
        <v>63</v>
      </c>
      <c r="F2547" s="21">
        <v>270</v>
      </c>
    </row>
    <row r="2548" spans="2:6" x14ac:dyDescent="0.25">
      <c r="B2548" s="18" t="s">
        <v>8</v>
      </c>
      <c r="C2548" s="19">
        <f>40813+(3*365)</f>
        <v>41908</v>
      </c>
      <c r="D2548" s="18" t="s">
        <v>77</v>
      </c>
      <c r="E2548" s="18" t="s">
        <v>66</v>
      </c>
      <c r="F2548" s="21">
        <v>848</v>
      </c>
    </row>
    <row r="2549" spans="2:6" x14ac:dyDescent="0.25">
      <c r="B2549" s="18" t="s">
        <v>21</v>
      </c>
      <c r="C2549" s="19">
        <f>40389+(3*365)</f>
        <v>41484</v>
      </c>
      <c r="D2549" s="18" t="s">
        <v>58</v>
      </c>
      <c r="E2549" s="18" t="s">
        <v>75</v>
      </c>
      <c r="F2549" s="21">
        <v>228</v>
      </c>
    </row>
    <row r="2550" spans="2:6" x14ac:dyDescent="0.25">
      <c r="B2550" s="18" t="s">
        <v>18</v>
      </c>
      <c r="C2550" s="19">
        <f>40496+(3*365)</f>
        <v>41591</v>
      </c>
      <c r="D2550" s="18" t="s">
        <v>68</v>
      </c>
      <c r="E2550" s="18" t="s">
        <v>72</v>
      </c>
      <c r="F2550" s="21">
        <v>4464</v>
      </c>
    </row>
    <row r="2551" spans="2:6" x14ac:dyDescent="0.25">
      <c r="B2551" s="18" t="s">
        <v>8</v>
      </c>
      <c r="C2551" s="19">
        <f>40627+(3*365)</f>
        <v>41722</v>
      </c>
      <c r="D2551" s="18" t="s">
        <v>81</v>
      </c>
      <c r="E2551" s="18" t="s">
        <v>64</v>
      </c>
      <c r="F2551" s="21">
        <v>7656</v>
      </c>
    </row>
    <row r="2552" spans="2:6" x14ac:dyDescent="0.25">
      <c r="B2552" s="18" t="s">
        <v>8</v>
      </c>
      <c r="C2552" s="19">
        <f>39846+(3*365)</f>
        <v>40941</v>
      </c>
      <c r="D2552" s="18" t="s">
        <v>81</v>
      </c>
      <c r="E2552" s="18" t="s">
        <v>61</v>
      </c>
      <c r="F2552" s="21">
        <v>756</v>
      </c>
    </row>
    <row r="2553" spans="2:6" x14ac:dyDescent="0.25">
      <c r="B2553" s="18" t="s">
        <v>31</v>
      </c>
      <c r="C2553" s="19">
        <f>41184+(3*365)</f>
        <v>42279</v>
      </c>
      <c r="D2553" s="18" t="s">
        <v>76</v>
      </c>
      <c r="E2553" s="18" t="s">
        <v>63</v>
      </c>
      <c r="F2553" s="21">
        <v>744</v>
      </c>
    </row>
    <row r="2554" spans="2:6" x14ac:dyDescent="0.25">
      <c r="B2554" s="18" t="s">
        <v>8</v>
      </c>
      <c r="C2554" s="19">
        <f>40149+(3*365)</f>
        <v>41244</v>
      </c>
      <c r="D2554" s="18" t="s">
        <v>77</v>
      </c>
      <c r="E2554" s="18" t="s">
        <v>72</v>
      </c>
      <c r="F2554" s="21">
        <v>303</v>
      </c>
    </row>
    <row r="2555" spans="2:6" x14ac:dyDescent="0.25">
      <c r="B2555" s="18" t="s">
        <v>9</v>
      </c>
      <c r="C2555" s="19">
        <f>41263+(3*365)</f>
        <v>42358</v>
      </c>
      <c r="D2555" s="18" t="s">
        <v>80</v>
      </c>
      <c r="E2555" s="18" t="s">
        <v>63</v>
      </c>
      <c r="F2555" s="21">
        <v>84</v>
      </c>
    </row>
    <row r="2556" spans="2:6" x14ac:dyDescent="0.25">
      <c r="B2556" s="18" t="s">
        <v>9</v>
      </c>
      <c r="C2556" s="19">
        <f>40818+(3*365)</f>
        <v>41913</v>
      </c>
      <c r="D2556" s="18" t="s">
        <v>62</v>
      </c>
      <c r="E2556" s="18" t="s">
        <v>66</v>
      </c>
      <c r="F2556" s="21">
        <v>468</v>
      </c>
    </row>
    <row r="2557" spans="2:6" x14ac:dyDescent="0.25">
      <c r="B2557" s="18" t="s">
        <v>18</v>
      </c>
      <c r="C2557" s="19">
        <f>40245+(3*365)</f>
        <v>41340</v>
      </c>
      <c r="D2557" s="18" t="s">
        <v>71</v>
      </c>
      <c r="E2557" s="18" t="s">
        <v>63</v>
      </c>
      <c r="F2557" s="21">
        <v>150</v>
      </c>
    </row>
    <row r="2558" spans="2:6" x14ac:dyDescent="0.25">
      <c r="B2558" s="18" t="s">
        <v>21</v>
      </c>
      <c r="C2558" s="19">
        <f>41132+(3*365)</f>
        <v>42227</v>
      </c>
      <c r="D2558" s="18" t="s">
        <v>73</v>
      </c>
      <c r="E2558" s="18" t="s">
        <v>72</v>
      </c>
      <c r="F2558" s="21">
        <v>1080</v>
      </c>
    </row>
    <row r="2559" spans="2:6" x14ac:dyDescent="0.25">
      <c r="B2559" s="18" t="s">
        <v>21</v>
      </c>
      <c r="C2559" s="19">
        <f>40715+(3*365)</f>
        <v>41810</v>
      </c>
      <c r="D2559" s="18" t="s">
        <v>58</v>
      </c>
      <c r="E2559" s="18" t="s">
        <v>63</v>
      </c>
      <c r="F2559" s="21">
        <v>1323</v>
      </c>
    </row>
    <row r="2560" spans="2:6" x14ac:dyDescent="0.25">
      <c r="B2560" s="18" t="s">
        <v>21</v>
      </c>
      <c r="C2560" s="19">
        <f>41175+(3*365)</f>
        <v>42270</v>
      </c>
      <c r="D2560" s="18" t="s">
        <v>73</v>
      </c>
      <c r="E2560" s="18" t="s">
        <v>61</v>
      </c>
      <c r="F2560" s="21">
        <v>148</v>
      </c>
    </row>
    <row r="2561" spans="2:6" x14ac:dyDescent="0.25">
      <c r="B2561" s="18" t="s">
        <v>10</v>
      </c>
      <c r="C2561" s="19">
        <f>40001+(3*365)</f>
        <v>41096</v>
      </c>
      <c r="D2561" s="18" t="s">
        <v>65</v>
      </c>
      <c r="E2561" s="18" t="s">
        <v>64</v>
      </c>
      <c r="F2561" s="21">
        <v>9840</v>
      </c>
    </row>
    <row r="2562" spans="2:6" x14ac:dyDescent="0.25">
      <c r="B2562" s="18" t="s">
        <v>9</v>
      </c>
      <c r="C2562" s="19">
        <f>40284+(3*365)</f>
        <v>41379</v>
      </c>
      <c r="D2562" s="18" t="s">
        <v>80</v>
      </c>
      <c r="E2562" s="18" t="s">
        <v>63</v>
      </c>
      <c r="F2562" s="21">
        <v>378</v>
      </c>
    </row>
    <row r="2563" spans="2:6" x14ac:dyDescent="0.25">
      <c r="B2563" s="18" t="s">
        <v>8</v>
      </c>
      <c r="C2563" s="19">
        <f>40688+(3*365)</f>
        <v>41783</v>
      </c>
      <c r="D2563" s="18" t="s">
        <v>77</v>
      </c>
      <c r="E2563" s="18" t="s">
        <v>63</v>
      </c>
      <c r="F2563" s="21">
        <v>560</v>
      </c>
    </row>
    <row r="2564" spans="2:6" x14ac:dyDescent="0.25">
      <c r="B2564" s="18" t="s">
        <v>10</v>
      </c>
      <c r="C2564" s="19">
        <f>41264+(3*365)</f>
        <v>42359</v>
      </c>
      <c r="D2564" s="18" t="s">
        <v>65</v>
      </c>
      <c r="E2564" s="18" t="s">
        <v>66</v>
      </c>
      <c r="F2564" s="21">
        <v>996</v>
      </c>
    </row>
    <row r="2565" spans="2:6" x14ac:dyDescent="0.25">
      <c r="B2565" s="18" t="s">
        <v>21</v>
      </c>
      <c r="C2565" s="19">
        <f>40066+(3*365)</f>
        <v>41161</v>
      </c>
      <c r="D2565" s="18" t="s">
        <v>58</v>
      </c>
      <c r="E2565" s="18" t="s">
        <v>72</v>
      </c>
      <c r="F2565" s="21">
        <v>335</v>
      </c>
    </row>
    <row r="2566" spans="2:6" x14ac:dyDescent="0.25">
      <c r="B2566" s="18" t="s">
        <v>11</v>
      </c>
      <c r="C2566" s="19">
        <f>40588+(3*365)</f>
        <v>41683</v>
      </c>
      <c r="D2566" s="18" t="s">
        <v>60</v>
      </c>
      <c r="E2566" s="18" t="s">
        <v>69</v>
      </c>
      <c r="F2566" s="21">
        <v>1260</v>
      </c>
    </row>
    <row r="2567" spans="2:6" x14ac:dyDescent="0.25">
      <c r="B2567" s="18" t="s">
        <v>21</v>
      </c>
      <c r="C2567" s="19">
        <f>41221+(3*365)</f>
        <v>42316</v>
      </c>
      <c r="D2567" s="18" t="s">
        <v>73</v>
      </c>
      <c r="E2567" s="18" t="s">
        <v>66</v>
      </c>
      <c r="F2567" s="21">
        <v>152</v>
      </c>
    </row>
    <row r="2568" spans="2:6" x14ac:dyDescent="0.25">
      <c r="B2568" s="18" t="s">
        <v>31</v>
      </c>
      <c r="C2568" s="19">
        <f>40423+(3*365)</f>
        <v>41518</v>
      </c>
      <c r="D2568" s="18" t="s">
        <v>70</v>
      </c>
      <c r="E2568" s="18" t="s">
        <v>59</v>
      </c>
      <c r="F2568" s="21">
        <v>666</v>
      </c>
    </row>
    <row r="2569" spans="2:6" x14ac:dyDescent="0.25">
      <c r="B2569" s="18" t="s">
        <v>31</v>
      </c>
      <c r="C2569" s="19">
        <f>41153+(3*365)</f>
        <v>42248</v>
      </c>
      <c r="D2569" s="18" t="s">
        <v>70</v>
      </c>
      <c r="E2569" s="18" t="s">
        <v>63</v>
      </c>
      <c r="F2569" s="21">
        <v>189</v>
      </c>
    </row>
    <row r="2570" spans="2:6" x14ac:dyDescent="0.25">
      <c r="B2570" s="18" t="s">
        <v>21</v>
      </c>
      <c r="C2570" s="19">
        <f>39980+(3*365)</f>
        <v>41075</v>
      </c>
      <c r="D2570" s="18" t="s">
        <v>58</v>
      </c>
      <c r="E2570" s="18" t="s">
        <v>61</v>
      </c>
      <c r="F2570" s="21">
        <v>44</v>
      </c>
    </row>
    <row r="2571" spans="2:6" x14ac:dyDescent="0.25">
      <c r="B2571" s="18" t="s">
        <v>8</v>
      </c>
      <c r="C2571" s="19">
        <f>40487+(3*365)</f>
        <v>41582</v>
      </c>
      <c r="D2571" s="18" t="s">
        <v>81</v>
      </c>
      <c r="E2571" s="18" t="s">
        <v>61</v>
      </c>
      <c r="F2571" s="21">
        <v>896</v>
      </c>
    </row>
    <row r="2572" spans="2:6" x14ac:dyDescent="0.25">
      <c r="B2572" s="18" t="s">
        <v>10</v>
      </c>
      <c r="C2572" s="19">
        <f>39947+(3*365)</f>
        <v>41042</v>
      </c>
      <c r="D2572" s="18" t="s">
        <v>67</v>
      </c>
      <c r="E2572" s="18" t="s">
        <v>61</v>
      </c>
      <c r="F2572" s="21">
        <v>820</v>
      </c>
    </row>
    <row r="2573" spans="2:6" x14ac:dyDescent="0.25">
      <c r="B2573" s="18" t="s">
        <v>25</v>
      </c>
      <c r="C2573" s="19">
        <f>41194+(3*365)</f>
        <v>42289</v>
      </c>
      <c r="D2573" s="18" t="s">
        <v>78</v>
      </c>
      <c r="E2573" s="18" t="s">
        <v>59</v>
      </c>
      <c r="F2573" s="21">
        <v>320</v>
      </c>
    </row>
    <row r="2574" spans="2:6" x14ac:dyDescent="0.25">
      <c r="B2574" s="18" t="s">
        <v>21</v>
      </c>
      <c r="C2574" s="19">
        <f>40483+(3*365)</f>
        <v>41578</v>
      </c>
      <c r="D2574" s="18" t="s">
        <v>58</v>
      </c>
      <c r="E2574" s="18" t="s">
        <v>72</v>
      </c>
      <c r="F2574" s="21">
        <v>224</v>
      </c>
    </row>
    <row r="2575" spans="2:6" x14ac:dyDescent="0.25">
      <c r="B2575" s="18" t="s">
        <v>9</v>
      </c>
      <c r="C2575" s="19">
        <f>40762+(3*365)</f>
        <v>41857</v>
      </c>
      <c r="D2575" s="18" t="s">
        <v>62</v>
      </c>
      <c r="E2575" s="18" t="s">
        <v>72</v>
      </c>
      <c r="F2575" s="21">
        <v>1815</v>
      </c>
    </row>
    <row r="2576" spans="2:6" x14ac:dyDescent="0.25">
      <c r="B2576" s="18" t="s">
        <v>11</v>
      </c>
      <c r="C2576" s="19">
        <f>40863+(3*365)</f>
        <v>41958</v>
      </c>
      <c r="D2576" s="18" t="s">
        <v>74</v>
      </c>
      <c r="E2576" s="18" t="s">
        <v>59</v>
      </c>
      <c r="F2576" s="21">
        <v>576</v>
      </c>
    </row>
    <row r="2577" spans="2:6" x14ac:dyDescent="0.25">
      <c r="B2577" s="18" t="s">
        <v>9</v>
      </c>
      <c r="C2577" s="19">
        <f>41157+(3*365)</f>
        <v>42252</v>
      </c>
      <c r="D2577" s="18" t="s">
        <v>62</v>
      </c>
      <c r="E2577" s="18" t="s">
        <v>66</v>
      </c>
      <c r="F2577" s="21">
        <v>372</v>
      </c>
    </row>
    <row r="2578" spans="2:6" x14ac:dyDescent="0.25">
      <c r="B2578" s="18" t="s">
        <v>25</v>
      </c>
      <c r="C2578" s="19">
        <f>40961+(3*365)</f>
        <v>42056</v>
      </c>
      <c r="D2578" s="18" t="s">
        <v>78</v>
      </c>
      <c r="E2578" s="18" t="s">
        <v>59</v>
      </c>
      <c r="F2578" s="21">
        <v>416</v>
      </c>
    </row>
    <row r="2579" spans="2:6" x14ac:dyDescent="0.25">
      <c r="B2579" s="18" t="s">
        <v>10</v>
      </c>
      <c r="C2579" s="19">
        <f>40552+(3*365)</f>
        <v>41647</v>
      </c>
      <c r="D2579" s="18" t="s">
        <v>65</v>
      </c>
      <c r="E2579" s="18" t="s">
        <v>63</v>
      </c>
      <c r="F2579" s="21">
        <v>124</v>
      </c>
    </row>
    <row r="2580" spans="2:6" x14ac:dyDescent="0.25">
      <c r="B2580" s="18" t="s">
        <v>25</v>
      </c>
      <c r="C2580" s="19">
        <f>40373+(3*365)</f>
        <v>41468</v>
      </c>
      <c r="D2580" s="18" t="s">
        <v>79</v>
      </c>
      <c r="E2580" s="18" t="s">
        <v>69</v>
      </c>
      <c r="F2580" s="21">
        <v>2400</v>
      </c>
    </row>
    <row r="2581" spans="2:6" x14ac:dyDescent="0.25">
      <c r="B2581" s="18" t="s">
        <v>18</v>
      </c>
      <c r="C2581" s="19">
        <f>39974+(3*365)</f>
        <v>41069</v>
      </c>
      <c r="D2581" s="18" t="s">
        <v>71</v>
      </c>
      <c r="E2581" s="18" t="s">
        <v>69</v>
      </c>
      <c r="F2581" s="21">
        <v>576</v>
      </c>
    </row>
    <row r="2582" spans="2:6" x14ac:dyDescent="0.25">
      <c r="B2582" s="18" t="s">
        <v>25</v>
      </c>
      <c r="C2582" s="19">
        <f>41093+(3*365)</f>
        <v>42188</v>
      </c>
      <c r="D2582" s="18" t="s">
        <v>79</v>
      </c>
      <c r="E2582" s="18" t="s">
        <v>59</v>
      </c>
      <c r="F2582" s="21">
        <v>250</v>
      </c>
    </row>
    <row r="2583" spans="2:6" x14ac:dyDescent="0.25">
      <c r="B2583" s="18" t="s">
        <v>9</v>
      </c>
      <c r="C2583" s="19">
        <f>40653+(3*365)</f>
        <v>41748</v>
      </c>
      <c r="D2583" s="18" t="s">
        <v>80</v>
      </c>
      <c r="E2583" s="18" t="s">
        <v>63</v>
      </c>
      <c r="F2583" s="21">
        <v>198</v>
      </c>
    </row>
    <row r="2584" spans="2:6" x14ac:dyDescent="0.25">
      <c r="B2584" s="18" t="s">
        <v>25</v>
      </c>
      <c r="C2584" s="19">
        <f>39916+(3*365)</f>
        <v>41011</v>
      </c>
      <c r="D2584" s="18" t="s">
        <v>79</v>
      </c>
      <c r="E2584" s="18" t="s">
        <v>72</v>
      </c>
      <c r="F2584" s="21">
        <v>1784</v>
      </c>
    </row>
    <row r="2585" spans="2:6" x14ac:dyDescent="0.25">
      <c r="B2585" s="18" t="s">
        <v>18</v>
      </c>
      <c r="C2585" s="19">
        <f>40500+(3*365)</f>
        <v>41595</v>
      </c>
      <c r="D2585" s="18" t="s">
        <v>68</v>
      </c>
      <c r="E2585" s="18" t="s">
        <v>66</v>
      </c>
      <c r="F2585" s="21">
        <v>1095</v>
      </c>
    </row>
    <row r="2586" spans="2:6" x14ac:dyDescent="0.25">
      <c r="B2586" s="18" t="s">
        <v>11</v>
      </c>
      <c r="C2586" s="19">
        <f>40422+(3*365)</f>
        <v>41517</v>
      </c>
      <c r="D2586" s="18" t="s">
        <v>60</v>
      </c>
      <c r="E2586" s="18" t="s">
        <v>69</v>
      </c>
      <c r="F2586" s="21">
        <v>1176</v>
      </c>
    </row>
    <row r="2587" spans="2:6" x14ac:dyDescent="0.25">
      <c r="B2587" s="18" t="s">
        <v>18</v>
      </c>
      <c r="C2587" s="19">
        <f>40636+(3*365)</f>
        <v>41731</v>
      </c>
      <c r="D2587" s="18" t="s">
        <v>68</v>
      </c>
      <c r="E2587" s="18" t="s">
        <v>61</v>
      </c>
      <c r="F2587" s="21">
        <v>888</v>
      </c>
    </row>
    <row r="2588" spans="2:6" x14ac:dyDescent="0.25">
      <c r="B2588" s="18" t="s">
        <v>10</v>
      </c>
      <c r="C2588" s="19">
        <f>40963+(3*365)</f>
        <v>42058</v>
      </c>
      <c r="D2588" s="18" t="s">
        <v>67</v>
      </c>
      <c r="E2588" s="18" t="s">
        <v>69</v>
      </c>
      <c r="F2588" s="21">
        <v>300</v>
      </c>
    </row>
    <row r="2589" spans="2:6" x14ac:dyDescent="0.25">
      <c r="B2589" s="18" t="s">
        <v>11</v>
      </c>
      <c r="C2589" s="19">
        <f>41122+(3*365)</f>
        <v>42217</v>
      </c>
      <c r="D2589" s="18" t="s">
        <v>60</v>
      </c>
      <c r="E2589" s="18" t="s">
        <v>75</v>
      </c>
      <c r="F2589" s="21">
        <v>148</v>
      </c>
    </row>
    <row r="2590" spans="2:6" x14ac:dyDescent="0.25">
      <c r="B2590" s="18" t="s">
        <v>18</v>
      </c>
      <c r="C2590" s="19">
        <f>40793+(3*365)</f>
        <v>41888</v>
      </c>
      <c r="D2590" s="18" t="s">
        <v>68</v>
      </c>
      <c r="E2590" s="18" t="s">
        <v>59</v>
      </c>
      <c r="F2590" s="21">
        <v>176</v>
      </c>
    </row>
    <row r="2591" spans="2:6" x14ac:dyDescent="0.25">
      <c r="B2591" s="18" t="s">
        <v>10</v>
      </c>
      <c r="C2591" s="19">
        <f>40143+(3*365)</f>
        <v>41238</v>
      </c>
      <c r="D2591" s="18" t="s">
        <v>67</v>
      </c>
      <c r="E2591" s="18" t="s">
        <v>61</v>
      </c>
      <c r="F2591" s="21">
        <v>680</v>
      </c>
    </row>
    <row r="2592" spans="2:6" x14ac:dyDescent="0.25">
      <c r="B2592" s="18" t="s">
        <v>8</v>
      </c>
      <c r="C2592" s="19">
        <f>40398+(3*365)</f>
        <v>41493</v>
      </c>
      <c r="D2592" s="18" t="s">
        <v>77</v>
      </c>
      <c r="E2592" s="18" t="s">
        <v>69</v>
      </c>
      <c r="F2592" s="21">
        <v>4848</v>
      </c>
    </row>
    <row r="2593" spans="2:6" x14ac:dyDescent="0.25">
      <c r="B2593" s="18" t="s">
        <v>21</v>
      </c>
      <c r="C2593" s="19">
        <f>41232+(3*365)</f>
        <v>42327</v>
      </c>
      <c r="D2593" s="18" t="s">
        <v>58</v>
      </c>
      <c r="E2593" s="18" t="s">
        <v>72</v>
      </c>
      <c r="F2593" s="21">
        <v>1256</v>
      </c>
    </row>
    <row r="2594" spans="2:6" x14ac:dyDescent="0.25">
      <c r="B2594" s="18" t="s">
        <v>9</v>
      </c>
      <c r="C2594" s="19">
        <f>40830+(3*365)</f>
        <v>41925</v>
      </c>
      <c r="D2594" s="18" t="s">
        <v>80</v>
      </c>
      <c r="E2594" s="18" t="s">
        <v>75</v>
      </c>
      <c r="F2594" s="21">
        <v>972</v>
      </c>
    </row>
    <row r="2595" spans="2:6" x14ac:dyDescent="0.25">
      <c r="B2595" s="18" t="s">
        <v>10</v>
      </c>
      <c r="C2595" s="19">
        <f>40851+(3*365)</f>
        <v>41946</v>
      </c>
      <c r="D2595" s="18" t="s">
        <v>67</v>
      </c>
      <c r="E2595" s="18" t="s">
        <v>59</v>
      </c>
      <c r="F2595" s="21">
        <v>62</v>
      </c>
    </row>
    <row r="2596" spans="2:6" x14ac:dyDescent="0.25">
      <c r="B2596" s="18" t="s">
        <v>10</v>
      </c>
      <c r="C2596" s="19">
        <f>40092+(3*365)</f>
        <v>41187</v>
      </c>
      <c r="D2596" s="18" t="s">
        <v>67</v>
      </c>
      <c r="E2596" s="18" t="s">
        <v>75</v>
      </c>
      <c r="F2596" s="21">
        <v>280</v>
      </c>
    </row>
    <row r="2597" spans="2:6" x14ac:dyDescent="0.25">
      <c r="B2597" s="18" t="s">
        <v>10</v>
      </c>
      <c r="C2597" s="19">
        <f>40493+(3*365)</f>
        <v>41588</v>
      </c>
      <c r="D2597" s="18" t="s">
        <v>65</v>
      </c>
      <c r="E2597" s="18" t="s">
        <v>59</v>
      </c>
      <c r="F2597" s="21">
        <v>78</v>
      </c>
    </row>
    <row r="2598" spans="2:6" x14ac:dyDescent="0.25">
      <c r="B2598" s="18" t="s">
        <v>10</v>
      </c>
      <c r="C2598" s="19">
        <f>40808+(3*365)</f>
        <v>41903</v>
      </c>
      <c r="D2598" s="18" t="s">
        <v>65</v>
      </c>
      <c r="E2598" s="18" t="s">
        <v>69</v>
      </c>
      <c r="F2598" s="21">
        <v>2772</v>
      </c>
    </row>
    <row r="2599" spans="2:6" x14ac:dyDescent="0.25">
      <c r="B2599" s="18" t="s">
        <v>18</v>
      </c>
      <c r="C2599" s="19">
        <f>40884+(3*365)</f>
        <v>41979</v>
      </c>
      <c r="D2599" s="18" t="s">
        <v>68</v>
      </c>
      <c r="E2599" s="18" t="s">
        <v>61</v>
      </c>
      <c r="F2599" s="21">
        <v>960</v>
      </c>
    </row>
    <row r="2600" spans="2:6" x14ac:dyDescent="0.25">
      <c r="B2600" s="18" t="s">
        <v>9</v>
      </c>
      <c r="C2600" s="19">
        <f>40333+(3*365)</f>
        <v>41428</v>
      </c>
      <c r="D2600" s="18" t="s">
        <v>62</v>
      </c>
      <c r="E2600" s="18" t="s">
        <v>61</v>
      </c>
      <c r="F2600" s="21">
        <v>488</v>
      </c>
    </row>
    <row r="2601" spans="2:6" x14ac:dyDescent="0.25">
      <c r="B2601" s="18" t="s">
        <v>25</v>
      </c>
      <c r="C2601" s="19">
        <f>40074+(3*365)</f>
        <v>41169</v>
      </c>
      <c r="D2601" s="18" t="s">
        <v>78</v>
      </c>
      <c r="E2601" s="18" t="s">
        <v>75</v>
      </c>
      <c r="F2601" s="21">
        <v>150</v>
      </c>
    </row>
    <row r="2602" spans="2:6" x14ac:dyDescent="0.25">
      <c r="B2602" s="18" t="s">
        <v>21</v>
      </c>
      <c r="C2602" s="19">
        <f>40908+(3*365)</f>
        <v>42003</v>
      </c>
      <c r="D2602" s="18" t="s">
        <v>58</v>
      </c>
      <c r="E2602" s="18" t="s">
        <v>66</v>
      </c>
      <c r="F2602" s="21">
        <v>1890</v>
      </c>
    </row>
    <row r="2603" spans="2:6" x14ac:dyDescent="0.25">
      <c r="B2603" s="18" t="s">
        <v>21</v>
      </c>
      <c r="C2603" s="19">
        <f>39915+(3*365)</f>
        <v>41010</v>
      </c>
      <c r="D2603" s="18" t="s">
        <v>58</v>
      </c>
      <c r="E2603" s="18" t="s">
        <v>63</v>
      </c>
      <c r="F2603" s="21">
        <v>144</v>
      </c>
    </row>
    <row r="2604" spans="2:6" x14ac:dyDescent="0.25">
      <c r="B2604" s="18" t="s">
        <v>10</v>
      </c>
      <c r="C2604" s="19">
        <f>40023+(3*365)</f>
        <v>41118</v>
      </c>
      <c r="D2604" s="18" t="s">
        <v>65</v>
      </c>
      <c r="E2604" s="18" t="s">
        <v>61</v>
      </c>
      <c r="F2604" s="21">
        <v>1072</v>
      </c>
    </row>
    <row r="2605" spans="2:6" x14ac:dyDescent="0.25">
      <c r="B2605" s="18" t="s">
        <v>9</v>
      </c>
      <c r="C2605" s="19">
        <f>39964+(3*365)</f>
        <v>41059</v>
      </c>
      <c r="D2605" s="18" t="s">
        <v>62</v>
      </c>
      <c r="E2605" s="18" t="s">
        <v>59</v>
      </c>
      <c r="F2605" s="21">
        <v>138</v>
      </c>
    </row>
    <row r="2606" spans="2:6" x14ac:dyDescent="0.25">
      <c r="B2606" s="18" t="s">
        <v>9</v>
      </c>
      <c r="C2606" s="19">
        <f>40661+(3*365)</f>
        <v>41756</v>
      </c>
      <c r="D2606" s="18" t="s">
        <v>62</v>
      </c>
      <c r="E2606" s="18" t="s">
        <v>66</v>
      </c>
      <c r="F2606" s="21">
        <v>639</v>
      </c>
    </row>
    <row r="2607" spans="2:6" x14ac:dyDescent="0.25">
      <c r="B2607" s="18" t="s">
        <v>8</v>
      </c>
      <c r="C2607" s="19">
        <f>40602+(3*365)</f>
        <v>41697</v>
      </c>
      <c r="D2607" s="18" t="s">
        <v>81</v>
      </c>
      <c r="E2607" s="18" t="s">
        <v>72</v>
      </c>
      <c r="F2607" s="21">
        <v>4920</v>
      </c>
    </row>
    <row r="2608" spans="2:6" x14ac:dyDescent="0.25">
      <c r="B2608" s="18" t="s">
        <v>21</v>
      </c>
      <c r="C2608" s="19">
        <f>41206+(3*365)</f>
        <v>42301</v>
      </c>
      <c r="D2608" s="18" t="s">
        <v>73</v>
      </c>
      <c r="E2608" s="18" t="s">
        <v>61</v>
      </c>
      <c r="F2608" s="21">
        <v>320</v>
      </c>
    </row>
    <row r="2609" spans="2:6" x14ac:dyDescent="0.25">
      <c r="B2609" s="18" t="s">
        <v>21</v>
      </c>
      <c r="C2609" s="19">
        <f>41232+(3*365)</f>
        <v>42327</v>
      </c>
      <c r="D2609" s="18" t="s">
        <v>73</v>
      </c>
      <c r="E2609" s="18" t="s">
        <v>63</v>
      </c>
      <c r="F2609" s="21">
        <v>2088</v>
      </c>
    </row>
    <row r="2610" spans="2:6" x14ac:dyDescent="0.25">
      <c r="B2610" s="18" t="s">
        <v>11</v>
      </c>
      <c r="C2610" s="19">
        <f>40004+(3*365)</f>
        <v>41099</v>
      </c>
      <c r="D2610" s="18" t="s">
        <v>60</v>
      </c>
      <c r="E2610" s="18" t="s">
        <v>69</v>
      </c>
      <c r="F2610" s="21">
        <v>1194</v>
      </c>
    </row>
    <row r="2611" spans="2:6" x14ac:dyDescent="0.25">
      <c r="B2611" s="18" t="s">
        <v>31</v>
      </c>
      <c r="C2611" s="19">
        <f>41145+(3*365)</f>
        <v>42240</v>
      </c>
      <c r="D2611" s="18" t="s">
        <v>76</v>
      </c>
      <c r="E2611" s="18" t="s">
        <v>66</v>
      </c>
      <c r="F2611" s="21">
        <v>234</v>
      </c>
    </row>
    <row r="2612" spans="2:6" x14ac:dyDescent="0.25">
      <c r="B2612" s="18" t="s">
        <v>9</v>
      </c>
      <c r="C2612" s="19">
        <f>40857+(3*365)</f>
        <v>41952</v>
      </c>
      <c r="D2612" s="18" t="s">
        <v>62</v>
      </c>
      <c r="E2612" s="18" t="s">
        <v>72</v>
      </c>
      <c r="F2612" s="21">
        <v>1242</v>
      </c>
    </row>
    <row r="2613" spans="2:6" x14ac:dyDescent="0.25">
      <c r="B2613" s="18" t="s">
        <v>11</v>
      </c>
      <c r="C2613" s="19">
        <f>40125+(3*365)</f>
        <v>41220</v>
      </c>
      <c r="D2613" s="18" t="s">
        <v>74</v>
      </c>
      <c r="E2613" s="18" t="s">
        <v>59</v>
      </c>
      <c r="F2613" s="21">
        <v>558</v>
      </c>
    </row>
    <row r="2614" spans="2:6" x14ac:dyDescent="0.25">
      <c r="B2614" s="18" t="s">
        <v>10</v>
      </c>
      <c r="C2614" s="19">
        <f>39954+(3*365)</f>
        <v>41049</v>
      </c>
      <c r="D2614" s="18" t="s">
        <v>67</v>
      </c>
      <c r="E2614" s="18" t="s">
        <v>64</v>
      </c>
      <c r="F2614" s="21">
        <v>9200</v>
      </c>
    </row>
    <row r="2615" spans="2:6" x14ac:dyDescent="0.25">
      <c r="B2615" s="18" t="s">
        <v>9</v>
      </c>
      <c r="C2615" s="19">
        <f>41058+(3*365)</f>
        <v>42153</v>
      </c>
      <c r="D2615" s="18" t="s">
        <v>62</v>
      </c>
      <c r="E2615" s="18" t="s">
        <v>75</v>
      </c>
      <c r="F2615" s="21">
        <v>40</v>
      </c>
    </row>
    <row r="2616" spans="2:6" x14ac:dyDescent="0.25">
      <c r="B2616" s="18" t="s">
        <v>31</v>
      </c>
      <c r="C2616" s="19">
        <f>41073+(3*365)</f>
        <v>42168</v>
      </c>
      <c r="D2616" s="18" t="s">
        <v>76</v>
      </c>
      <c r="E2616" s="18" t="s">
        <v>63</v>
      </c>
      <c r="F2616" s="21">
        <v>552</v>
      </c>
    </row>
    <row r="2617" spans="2:6" x14ac:dyDescent="0.25">
      <c r="B2617" s="18" t="s">
        <v>8</v>
      </c>
      <c r="C2617" s="19">
        <f>39853+(3*365)</f>
        <v>40948</v>
      </c>
      <c r="D2617" s="18" t="s">
        <v>77</v>
      </c>
      <c r="E2617" s="18" t="s">
        <v>63</v>
      </c>
      <c r="F2617" s="21">
        <v>156</v>
      </c>
    </row>
    <row r="2618" spans="2:6" x14ac:dyDescent="0.25">
      <c r="B2618" s="18" t="s">
        <v>21</v>
      </c>
      <c r="C2618" s="19">
        <f>40757+(3*365)</f>
        <v>41852</v>
      </c>
      <c r="D2618" s="18" t="s">
        <v>58</v>
      </c>
      <c r="E2618" s="18" t="s">
        <v>66</v>
      </c>
      <c r="F2618" s="21">
        <v>750</v>
      </c>
    </row>
    <row r="2619" spans="2:6" x14ac:dyDescent="0.25">
      <c r="B2619" s="18" t="s">
        <v>10</v>
      </c>
      <c r="C2619" s="19">
        <f>40283+(3*365)</f>
        <v>41378</v>
      </c>
      <c r="D2619" s="18" t="s">
        <v>67</v>
      </c>
      <c r="E2619" s="18" t="s">
        <v>63</v>
      </c>
      <c r="F2619" s="21">
        <v>135</v>
      </c>
    </row>
    <row r="2620" spans="2:6" x14ac:dyDescent="0.25">
      <c r="B2620" s="18" t="s">
        <v>10</v>
      </c>
      <c r="C2620" s="19">
        <f>39869+(3*365)</f>
        <v>40964</v>
      </c>
      <c r="D2620" s="18" t="s">
        <v>65</v>
      </c>
      <c r="E2620" s="18" t="s">
        <v>63</v>
      </c>
      <c r="F2620" s="21">
        <v>924</v>
      </c>
    </row>
    <row r="2621" spans="2:6" x14ac:dyDescent="0.25">
      <c r="B2621" s="18" t="s">
        <v>25</v>
      </c>
      <c r="C2621" s="19">
        <f>41142+(3*365)</f>
        <v>42237</v>
      </c>
      <c r="D2621" s="18" t="s">
        <v>78</v>
      </c>
      <c r="E2621" s="18" t="s">
        <v>59</v>
      </c>
      <c r="F2621" s="21">
        <v>144</v>
      </c>
    </row>
    <row r="2622" spans="2:6" x14ac:dyDescent="0.25">
      <c r="B2622" s="18" t="s">
        <v>21</v>
      </c>
      <c r="C2622" s="19">
        <f>40491+(3*365)</f>
        <v>41586</v>
      </c>
      <c r="D2622" s="18" t="s">
        <v>58</v>
      </c>
      <c r="E2622" s="18" t="s">
        <v>59</v>
      </c>
      <c r="F2622" s="21">
        <v>252</v>
      </c>
    </row>
    <row r="2623" spans="2:6" x14ac:dyDescent="0.25">
      <c r="B2623" s="18" t="s">
        <v>31</v>
      </c>
      <c r="C2623" s="19">
        <f>40782+(3*365)</f>
        <v>41877</v>
      </c>
      <c r="D2623" s="18" t="s">
        <v>76</v>
      </c>
      <c r="E2623" s="18" t="s">
        <v>63</v>
      </c>
      <c r="F2623" s="21">
        <v>312</v>
      </c>
    </row>
    <row r="2624" spans="2:6" x14ac:dyDescent="0.25">
      <c r="B2624" s="18" t="s">
        <v>31</v>
      </c>
      <c r="C2624" s="19">
        <f>40202+(3*365)</f>
        <v>41297</v>
      </c>
      <c r="D2624" s="18" t="s">
        <v>76</v>
      </c>
      <c r="E2624" s="18" t="s">
        <v>59</v>
      </c>
      <c r="F2624" s="21">
        <v>840</v>
      </c>
    </row>
    <row r="2625" spans="2:6" x14ac:dyDescent="0.25">
      <c r="B2625" s="18" t="s">
        <v>31</v>
      </c>
      <c r="C2625" s="19">
        <f>39951+(3*365)</f>
        <v>41046</v>
      </c>
      <c r="D2625" s="18" t="s">
        <v>70</v>
      </c>
      <c r="E2625" s="18" t="s">
        <v>69</v>
      </c>
      <c r="F2625" s="21">
        <v>2376</v>
      </c>
    </row>
    <row r="2626" spans="2:6" x14ac:dyDescent="0.25">
      <c r="B2626" s="18" t="s">
        <v>11</v>
      </c>
      <c r="C2626" s="19">
        <f>39889+(3*365)</f>
        <v>40984</v>
      </c>
      <c r="D2626" s="18" t="s">
        <v>74</v>
      </c>
      <c r="E2626" s="18" t="s">
        <v>59</v>
      </c>
      <c r="F2626" s="21">
        <v>570</v>
      </c>
    </row>
    <row r="2627" spans="2:6" x14ac:dyDescent="0.25">
      <c r="B2627" s="18" t="s">
        <v>8</v>
      </c>
      <c r="C2627" s="19">
        <f>41053+(3*365)</f>
        <v>42148</v>
      </c>
      <c r="D2627" s="18" t="s">
        <v>81</v>
      </c>
      <c r="E2627" s="18" t="s">
        <v>72</v>
      </c>
      <c r="F2627" s="21">
        <v>608</v>
      </c>
    </row>
    <row r="2628" spans="2:6" x14ac:dyDescent="0.25">
      <c r="B2628" s="18" t="s">
        <v>21</v>
      </c>
      <c r="C2628" s="19">
        <f>40631+(3*365)</f>
        <v>41726</v>
      </c>
      <c r="D2628" s="18" t="s">
        <v>58</v>
      </c>
      <c r="E2628" s="18" t="s">
        <v>61</v>
      </c>
      <c r="F2628" s="21">
        <v>837</v>
      </c>
    </row>
    <row r="2629" spans="2:6" x14ac:dyDescent="0.25">
      <c r="B2629" s="18" t="s">
        <v>11</v>
      </c>
      <c r="C2629" s="19">
        <f>40882+(3*365)</f>
        <v>41977</v>
      </c>
      <c r="D2629" s="18" t="s">
        <v>74</v>
      </c>
      <c r="E2629" s="18" t="s">
        <v>75</v>
      </c>
      <c r="F2629" s="21">
        <v>408</v>
      </c>
    </row>
    <row r="2630" spans="2:6" x14ac:dyDescent="0.25">
      <c r="B2630" s="18" t="s">
        <v>18</v>
      </c>
      <c r="C2630" s="19">
        <f>41190+(3*365)</f>
        <v>42285</v>
      </c>
      <c r="D2630" s="18" t="s">
        <v>71</v>
      </c>
      <c r="E2630" s="18" t="s">
        <v>75</v>
      </c>
      <c r="F2630" s="21">
        <v>102</v>
      </c>
    </row>
    <row r="2631" spans="2:6" x14ac:dyDescent="0.25">
      <c r="B2631" s="18" t="s">
        <v>10</v>
      </c>
      <c r="C2631" s="19">
        <f>40129+(3*365)</f>
        <v>41224</v>
      </c>
      <c r="D2631" s="18" t="s">
        <v>65</v>
      </c>
      <c r="E2631" s="18" t="s">
        <v>64</v>
      </c>
      <c r="F2631" s="21">
        <v>6496</v>
      </c>
    </row>
    <row r="2632" spans="2:6" x14ac:dyDescent="0.25">
      <c r="B2632" s="18" t="s">
        <v>31</v>
      </c>
      <c r="C2632" s="19">
        <f>40335+(3*365)</f>
        <v>41430</v>
      </c>
      <c r="D2632" s="18" t="s">
        <v>70</v>
      </c>
      <c r="E2632" s="18" t="s">
        <v>63</v>
      </c>
      <c r="F2632" s="21">
        <v>1080</v>
      </c>
    </row>
    <row r="2633" spans="2:6" x14ac:dyDescent="0.25">
      <c r="B2633" s="18" t="s">
        <v>8</v>
      </c>
      <c r="C2633" s="19">
        <f>40213+(3*365)</f>
        <v>41308</v>
      </c>
      <c r="D2633" s="18" t="s">
        <v>77</v>
      </c>
      <c r="E2633" s="18" t="s">
        <v>64</v>
      </c>
      <c r="F2633" s="21">
        <v>13260</v>
      </c>
    </row>
    <row r="2634" spans="2:6" x14ac:dyDescent="0.25">
      <c r="B2634" s="18" t="s">
        <v>11</v>
      </c>
      <c r="C2634" s="19">
        <f>39917+(3*365)</f>
        <v>41012</v>
      </c>
      <c r="D2634" s="18" t="s">
        <v>74</v>
      </c>
      <c r="E2634" s="18" t="s">
        <v>59</v>
      </c>
      <c r="F2634" s="21">
        <v>186</v>
      </c>
    </row>
    <row r="2635" spans="2:6" x14ac:dyDescent="0.25">
      <c r="B2635" s="18" t="s">
        <v>31</v>
      </c>
      <c r="C2635" s="19">
        <f>40715+(3*365)</f>
        <v>41810</v>
      </c>
      <c r="D2635" s="18" t="s">
        <v>70</v>
      </c>
      <c r="E2635" s="18" t="s">
        <v>75</v>
      </c>
      <c r="F2635" s="21">
        <v>666</v>
      </c>
    </row>
    <row r="2636" spans="2:6" x14ac:dyDescent="0.25">
      <c r="B2636" s="18" t="s">
        <v>25</v>
      </c>
      <c r="C2636" s="19">
        <f>41001+(3*365)</f>
        <v>42096</v>
      </c>
      <c r="D2636" s="18" t="s">
        <v>79</v>
      </c>
      <c r="E2636" s="18" t="s">
        <v>66</v>
      </c>
      <c r="F2636" s="21">
        <v>142</v>
      </c>
    </row>
    <row r="2637" spans="2:6" x14ac:dyDescent="0.25">
      <c r="B2637" s="18" t="s">
        <v>18</v>
      </c>
      <c r="C2637" s="19">
        <f>40046+(3*365)</f>
        <v>41141</v>
      </c>
      <c r="D2637" s="18" t="s">
        <v>71</v>
      </c>
      <c r="E2637" s="18" t="s">
        <v>75</v>
      </c>
      <c r="F2637" s="21">
        <v>40</v>
      </c>
    </row>
    <row r="2638" spans="2:6" x14ac:dyDescent="0.25">
      <c r="B2638" s="18" t="s">
        <v>8</v>
      </c>
      <c r="C2638" s="19">
        <f>40144+(3*365)</f>
        <v>41239</v>
      </c>
      <c r="D2638" s="18" t="s">
        <v>81</v>
      </c>
      <c r="E2638" s="18" t="s">
        <v>75</v>
      </c>
      <c r="F2638" s="21">
        <v>612</v>
      </c>
    </row>
    <row r="2639" spans="2:6" x14ac:dyDescent="0.25">
      <c r="B2639" s="18" t="s">
        <v>18</v>
      </c>
      <c r="C2639" s="19">
        <f>40958+(3*365)</f>
        <v>42053</v>
      </c>
      <c r="D2639" s="18" t="s">
        <v>68</v>
      </c>
      <c r="E2639" s="18" t="s">
        <v>72</v>
      </c>
      <c r="F2639" s="21">
        <v>5832</v>
      </c>
    </row>
    <row r="2640" spans="2:6" x14ac:dyDescent="0.25">
      <c r="B2640" s="18" t="s">
        <v>31</v>
      </c>
      <c r="C2640" s="19">
        <f>40788+(3*365)</f>
        <v>41883</v>
      </c>
      <c r="D2640" s="18" t="s">
        <v>70</v>
      </c>
      <c r="E2640" s="18" t="s">
        <v>59</v>
      </c>
      <c r="F2640" s="21">
        <v>171</v>
      </c>
    </row>
    <row r="2641" spans="2:6" x14ac:dyDescent="0.25">
      <c r="B2641" s="18" t="s">
        <v>8</v>
      </c>
      <c r="C2641" s="19">
        <f>40105+(3*365)</f>
        <v>41200</v>
      </c>
      <c r="D2641" s="18" t="s">
        <v>81</v>
      </c>
      <c r="E2641" s="18" t="s">
        <v>75</v>
      </c>
      <c r="F2641" s="21">
        <v>30</v>
      </c>
    </row>
    <row r="2642" spans="2:6" x14ac:dyDescent="0.25">
      <c r="B2642" s="18" t="s">
        <v>31</v>
      </c>
      <c r="C2642" s="19">
        <f>41194+(3*365)</f>
        <v>42289</v>
      </c>
      <c r="D2642" s="18" t="s">
        <v>70</v>
      </c>
      <c r="E2642" s="18" t="s">
        <v>66</v>
      </c>
      <c r="F2642" s="21">
        <v>1110</v>
      </c>
    </row>
    <row r="2643" spans="2:6" x14ac:dyDescent="0.25">
      <c r="B2643" s="18" t="s">
        <v>31</v>
      </c>
      <c r="C2643" s="19">
        <f>40357+(3*365)</f>
        <v>41452</v>
      </c>
      <c r="D2643" s="18" t="s">
        <v>70</v>
      </c>
      <c r="E2643" s="18" t="s">
        <v>59</v>
      </c>
      <c r="F2643" s="21">
        <v>216</v>
      </c>
    </row>
    <row r="2644" spans="2:6" x14ac:dyDescent="0.25">
      <c r="B2644" s="18" t="s">
        <v>21</v>
      </c>
      <c r="C2644" s="19">
        <f>40617+(3*365)</f>
        <v>41712</v>
      </c>
      <c r="D2644" s="18" t="s">
        <v>73</v>
      </c>
      <c r="E2644" s="18" t="s">
        <v>64</v>
      </c>
      <c r="F2644" s="21">
        <v>3960</v>
      </c>
    </row>
    <row r="2645" spans="2:6" x14ac:dyDescent="0.25">
      <c r="B2645" s="18" t="s">
        <v>11</v>
      </c>
      <c r="C2645" s="19">
        <f>40448+(3*365)</f>
        <v>41543</v>
      </c>
      <c r="D2645" s="18" t="s">
        <v>74</v>
      </c>
      <c r="E2645" s="18" t="s">
        <v>72</v>
      </c>
      <c r="F2645" s="21">
        <v>6027</v>
      </c>
    </row>
    <row r="2646" spans="2:6" x14ac:dyDescent="0.25">
      <c r="B2646" s="18" t="s">
        <v>9</v>
      </c>
      <c r="C2646" s="19">
        <f>40510+(3*365)</f>
        <v>41605</v>
      </c>
      <c r="D2646" s="18" t="s">
        <v>80</v>
      </c>
      <c r="E2646" s="18" t="s">
        <v>72</v>
      </c>
      <c r="F2646" s="21">
        <v>1404</v>
      </c>
    </row>
    <row r="2647" spans="2:6" x14ac:dyDescent="0.25">
      <c r="B2647" s="18" t="s">
        <v>31</v>
      </c>
      <c r="C2647" s="19">
        <f>39959+(3*365)</f>
        <v>41054</v>
      </c>
      <c r="D2647" s="18" t="s">
        <v>76</v>
      </c>
      <c r="E2647" s="18" t="s">
        <v>75</v>
      </c>
      <c r="F2647" s="21">
        <v>288</v>
      </c>
    </row>
    <row r="2648" spans="2:6" x14ac:dyDescent="0.25">
      <c r="B2648" s="18" t="s">
        <v>8</v>
      </c>
      <c r="C2648" s="19">
        <f>40189+(3*365)</f>
        <v>41284</v>
      </c>
      <c r="D2648" s="18" t="s">
        <v>81</v>
      </c>
      <c r="E2648" s="18" t="s">
        <v>75</v>
      </c>
      <c r="F2648" s="21">
        <v>1280</v>
      </c>
    </row>
    <row r="2649" spans="2:6" x14ac:dyDescent="0.25">
      <c r="B2649" s="18" t="s">
        <v>18</v>
      </c>
      <c r="C2649" s="19">
        <f>40814+(3*365)</f>
        <v>41909</v>
      </c>
      <c r="D2649" s="18" t="s">
        <v>71</v>
      </c>
      <c r="E2649" s="18" t="s">
        <v>72</v>
      </c>
      <c r="F2649" s="21">
        <v>6816</v>
      </c>
    </row>
    <row r="2650" spans="2:6" x14ac:dyDescent="0.25">
      <c r="B2650" s="18" t="s">
        <v>8</v>
      </c>
      <c r="C2650" s="19">
        <f>40080+(3*365)</f>
        <v>41175</v>
      </c>
      <c r="D2650" s="18" t="s">
        <v>77</v>
      </c>
      <c r="E2650" s="18" t="s">
        <v>75</v>
      </c>
      <c r="F2650" s="21">
        <v>225</v>
      </c>
    </row>
    <row r="2651" spans="2:6" x14ac:dyDescent="0.25">
      <c r="B2651" s="18" t="s">
        <v>8</v>
      </c>
      <c r="C2651" s="19">
        <f>39879+(3*365)</f>
        <v>40974</v>
      </c>
      <c r="D2651" s="18" t="s">
        <v>81</v>
      </c>
      <c r="E2651" s="18" t="s">
        <v>75</v>
      </c>
      <c r="F2651" s="21">
        <v>648</v>
      </c>
    </row>
    <row r="2652" spans="2:6" x14ac:dyDescent="0.25">
      <c r="B2652" s="18" t="s">
        <v>31</v>
      </c>
      <c r="C2652" s="19">
        <f>40377+(3*365)</f>
        <v>41472</v>
      </c>
      <c r="D2652" s="18" t="s">
        <v>76</v>
      </c>
      <c r="E2652" s="18" t="s">
        <v>59</v>
      </c>
      <c r="F2652" s="21">
        <v>168</v>
      </c>
    </row>
    <row r="2653" spans="2:6" x14ac:dyDescent="0.25">
      <c r="B2653" s="18" t="s">
        <v>21</v>
      </c>
      <c r="C2653" s="19">
        <f>40697+(3*365)</f>
        <v>41792</v>
      </c>
      <c r="D2653" s="18" t="s">
        <v>73</v>
      </c>
      <c r="E2653" s="18" t="s">
        <v>72</v>
      </c>
      <c r="F2653" s="21">
        <v>2415</v>
      </c>
    </row>
    <row r="2654" spans="2:6" x14ac:dyDescent="0.25">
      <c r="B2654" s="18" t="s">
        <v>8</v>
      </c>
      <c r="C2654" s="19">
        <f>41227+(3*365)</f>
        <v>42322</v>
      </c>
      <c r="D2654" s="18" t="s">
        <v>77</v>
      </c>
      <c r="E2654" s="18" t="s">
        <v>64</v>
      </c>
      <c r="F2654" s="21">
        <v>14640</v>
      </c>
    </row>
    <row r="2655" spans="2:6" x14ac:dyDescent="0.25">
      <c r="B2655" s="18" t="s">
        <v>31</v>
      </c>
      <c r="C2655" s="19">
        <f>41217+(3*365)</f>
        <v>42312</v>
      </c>
      <c r="D2655" s="18" t="s">
        <v>76</v>
      </c>
      <c r="E2655" s="18" t="s">
        <v>72</v>
      </c>
      <c r="F2655" s="21">
        <v>3468</v>
      </c>
    </row>
    <row r="2656" spans="2:6" x14ac:dyDescent="0.25">
      <c r="B2656" s="18" t="s">
        <v>31</v>
      </c>
      <c r="C2656" s="19">
        <f>40701+(3*365)</f>
        <v>41796</v>
      </c>
      <c r="D2656" s="18" t="s">
        <v>70</v>
      </c>
      <c r="E2656" s="18" t="s">
        <v>59</v>
      </c>
      <c r="F2656" s="21">
        <v>288</v>
      </c>
    </row>
    <row r="2657" spans="2:6" x14ac:dyDescent="0.25">
      <c r="B2657" s="18" t="s">
        <v>8</v>
      </c>
      <c r="C2657" s="19">
        <f>41225+(3*365)</f>
        <v>42320</v>
      </c>
      <c r="D2657" s="18" t="s">
        <v>81</v>
      </c>
      <c r="E2657" s="18" t="s">
        <v>66</v>
      </c>
      <c r="F2657" s="21">
        <v>280</v>
      </c>
    </row>
    <row r="2658" spans="2:6" x14ac:dyDescent="0.25">
      <c r="B2658" s="18" t="s">
        <v>18</v>
      </c>
      <c r="C2658" s="19">
        <f>40262+(3*365)</f>
        <v>41357</v>
      </c>
      <c r="D2658" s="18" t="s">
        <v>71</v>
      </c>
      <c r="E2658" s="18" t="s">
        <v>75</v>
      </c>
      <c r="F2658" s="21">
        <v>51</v>
      </c>
    </row>
    <row r="2659" spans="2:6" x14ac:dyDescent="0.25">
      <c r="B2659" s="18" t="s">
        <v>8</v>
      </c>
      <c r="C2659" s="19">
        <f>40244+(3*365)</f>
        <v>41339</v>
      </c>
      <c r="D2659" s="18" t="s">
        <v>81</v>
      </c>
      <c r="E2659" s="18" t="s">
        <v>72</v>
      </c>
      <c r="F2659" s="21">
        <v>2272</v>
      </c>
    </row>
    <row r="2660" spans="2:6" x14ac:dyDescent="0.25">
      <c r="B2660" s="18" t="s">
        <v>25</v>
      </c>
      <c r="C2660" s="19">
        <f>40570+(3*365)</f>
        <v>41665</v>
      </c>
      <c r="D2660" s="18" t="s">
        <v>79</v>
      </c>
      <c r="E2660" s="18" t="s">
        <v>69</v>
      </c>
      <c r="F2660" s="21">
        <v>4984</v>
      </c>
    </row>
    <row r="2661" spans="2:6" x14ac:dyDescent="0.25">
      <c r="B2661" s="18" t="s">
        <v>11</v>
      </c>
      <c r="C2661" s="19">
        <f>41152+(3*365)</f>
        <v>42247</v>
      </c>
      <c r="D2661" s="18" t="s">
        <v>74</v>
      </c>
      <c r="E2661" s="18" t="s">
        <v>75</v>
      </c>
      <c r="F2661" s="21">
        <v>280</v>
      </c>
    </row>
    <row r="2662" spans="2:6" x14ac:dyDescent="0.25">
      <c r="B2662" s="18" t="s">
        <v>8</v>
      </c>
      <c r="C2662" s="19">
        <f>40401+(3*365)</f>
        <v>41496</v>
      </c>
      <c r="D2662" s="18" t="s">
        <v>81</v>
      </c>
      <c r="E2662" s="18" t="s">
        <v>64</v>
      </c>
      <c r="F2662" s="21">
        <v>8988</v>
      </c>
    </row>
    <row r="2663" spans="2:6" x14ac:dyDescent="0.25">
      <c r="B2663" s="18" t="s">
        <v>10</v>
      </c>
      <c r="C2663" s="19">
        <f>40776+(3*365)</f>
        <v>41871</v>
      </c>
      <c r="D2663" s="18" t="s">
        <v>65</v>
      </c>
      <c r="E2663" s="18" t="s">
        <v>66</v>
      </c>
      <c r="F2663" s="21">
        <v>240</v>
      </c>
    </row>
    <row r="2664" spans="2:6" x14ac:dyDescent="0.25">
      <c r="B2664" s="18" t="s">
        <v>31</v>
      </c>
      <c r="C2664" s="19">
        <f>41099+(3*365)</f>
        <v>42194</v>
      </c>
      <c r="D2664" s="18" t="s">
        <v>76</v>
      </c>
      <c r="E2664" s="18" t="s">
        <v>75</v>
      </c>
      <c r="F2664" s="21">
        <v>912</v>
      </c>
    </row>
    <row r="2665" spans="2:6" x14ac:dyDescent="0.25">
      <c r="B2665" s="18" t="s">
        <v>18</v>
      </c>
      <c r="C2665" s="19">
        <f>40647+(3*365)</f>
        <v>41742</v>
      </c>
      <c r="D2665" s="18" t="s">
        <v>68</v>
      </c>
      <c r="E2665" s="18" t="s">
        <v>64</v>
      </c>
      <c r="F2665" s="21">
        <v>2088</v>
      </c>
    </row>
    <row r="2666" spans="2:6" x14ac:dyDescent="0.25">
      <c r="B2666" s="18" t="s">
        <v>8</v>
      </c>
      <c r="C2666" s="19">
        <f>40743+(3*365)</f>
        <v>41838</v>
      </c>
      <c r="D2666" s="18" t="s">
        <v>77</v>
      </c>
      <c r="E2666" s="18" t="s">
        <v>59</v>
      </c>
      <c r="F2666" s="21">
        <v>208</v>
      </c>
    </row>
    <row r="2667" spans="2:6" x14ac:dyDescent="0.25">
      <c r="B2667" s="18" t="s">
        <v>25</v>
      </c>
      <c r="C2667" s="19">
        <f>40673+(3*365)</f>
        <v>41768</v>
      </c>
      <c r="D2667" s="18" t="s">
        <v>79</v>
      </c>
      <c r="E2667" s="18" t="s">
        <v>69</v>
      </c>
      <c r="F2667" s="21">
        <v>2384</v>
      </c>
    </row>
    <row r="2668" spans="2:6" x14ac:dyDescent="0.25">
      <c r="B2668" s="18" t="s">
        <v>18</v>
      </c>
      <c r="C2668" s="19">
        <f>40231+(3*365)</f>
        <v>41326</v>
      </c>
      <c r="D2668" s="18" t="s">
        <v>68</v>
      </c>
      <c r="E2668" s="18" t="s">
        <v>64</v>
      </c>
      <c r="F2668" s="21">
        <v>6606</v>
      </c>
    </row>
    <row r="2669" spans="2:6" x14ac:dyDescent="0.25">
      <c r="B2669" s="18" t="s">
        <v>25</v>
      </c>
      <c r="C2669" s="19">
        <f>40889+(3*365)</f>
        <v>41984</v>
      </c>
      <c r="D2669" s="18" t="s">
        <v>78</v>
      </c>
      <c r="E2669" s="18" t="s">
        <v>61</v>
      </c>
      <c r="F2669" s="21">
        <v>1368</v>
      </c>
    </row>
    <row r="2670" spans="2:6" x14ac:dyDescent="0.25">
      <c r="B2670" s="18" t="s">
        <v>21</v>
      </c>
      <c r="C2670" s="19">
        <f>40210+(3*365)</f>
        <v>41305</v>
      </c>
      <c r="D2670" s="18" t="s">
        <v>58</v>
      </c>
      <c r="E2670" s="18" t="s">
        <v>61</v>
      </c>
      <c r="F2670" s="21">
        <v>164</v>
      </c>
    </row>
    <row r="2671" spans="2:6" x14ac:dyDescent="0.25">
      <c r="B2671" s="18" t="s">
        <v>8</v>
      </c>
      <c r="C2671" s="19">
        <f>40605+(3*365)</f>
        <v>41700</v>
      </c>
      <c r="D2671" s="18" t="s">
        <v>81</v>
      </c>
      <c r="E2671" s="18" t="s">
        <v>59</v>
      </c>
      <c r="F2671" s="21">
        <v>864</v>
      </c>
    </row>
    <row r="2672" spans="2:6" x14ac:dyDescent="0.25">
      <c r="B2672" s="18" t="s">
        <v>8</v>
      </c>
      <c r="C2672" s="19">
        <f>41136+(3*365)</f>
        <v>42231</v>
      </c>
      <c r="D2672" s="18" t="s">
        <v>77</v>
      </c>
      <c r="E2672" s="18" t="s">
        <v>66</v>
      </c>
      <c r="F2672" s="21">
        <v>324</v>
      </c>
    </row>
    <row r="2673" spans="2:6" x14ac:dyDescent="0.25">
      <c r="B2673" s="18" t="s">
        <v>18</v>
      </c>
      <c r="C2673" s="19">
        <f>40059+(3*365)</f>
        <v>41154</v>
      </c>
      <c r="D2673" s="18" t="s">
        <v>71</v>
      </c>
      <c r="E2673" s="18" t="s">
        <v>69</v>
      </c>
      <c r="F2673" s="21">
        <v>376</v>
      </c>
    </row>
    <row r="2674" spans="2:6" x14ac:dyDescent="0.25">
      <c r="B2674" s="18" t="s">
        <v>8</v>
      </c>
      <c r="C2674" s="19">
        <f>40888+(3*365)</f>
        <v>41983</v>
      </c>
      <c r="D2674" s="18" t="s">
        <v>81</v>
      </c>
      <c r="E2674" s="18" t="s">
        <v>72</v>
      </c>
      <c r="F2674" s="21">
        <v>3360</v>
      </c>
    </row>
    <row r="2675" spans="2:6" x14ac:dyDescent="0.25">
      <c r="B2675" s="18" t="s">
        <v>18</v>
      </c>
      <c r="C2675" s="19">
        <f>40834+(3*365)</f>
        <v>41929</v>
      </c>
      <c r="D2675" s="18" t="s">
        <v>71</v>
      </c>
      <c r="E2675" s="18" t="s">
        <v>75</v>
      </c>
      <c r="F2675" s="21">
        <v>728</v>
      </c>
    </row>
    <row r="2676" spans="2:6" x14ac:dyDescent="0.25">
      <c r="B2676" s="18" t="s">
        <v>31</v>
      </c>
      <c r="C2676" s="19">
        <f>40552+(3*365)</f>
        <v>41647</v>
      </c>
      <c r="D2676" s="18" t="s">
        <v>70</v>
      </c>
      <c r="E2676" s="18" t="s">
        <v>63</v>
      </c>
      <c r="F2676" s="21">
        <v>960</v>
      </c>
    </row>
    <row r="2677" spans="2:6" x14ac:dyDescent="0.25">
      <c r="B2677" s="18" t="s">
        <v>18</v>
      </c>
      <c r="C2677" s="19">
        <f>40178+(3*365)</f>
        <v>41273</v>
      </c>
      <c r="D2677" s="18" t="s">
        <v>71</v>
      </c>
      <c r="E2677" s="18" t="s">
        <v>61</v>
      </c>
      <c r="F2677" s="21">
        <v>868</v>
      </c>
    </row>
    <row r="2678" spans="2:6" x14ac:dyDescent="0.25">
      <c r="B2678" s="18" t="s">
        <v>21</v>
      </c>
      <c r="C2678" s="19">
        <f>39952+(3*365)</f>
        <v>41047</v>
      </c>
      <c r="D2678" s="18" t="s">
        <v>58</v>
      </c>
      <c r="E2678" s="18" t="s">
        <v>69</v>
      </c>
      <c r="F2678" s="21">
        <v>1737</v>
      </c>
    </row>
    <row r="2679" spans="2:6" x14ac:dyDescent="0.25">
      <c r="B2679" s="18" t="s">
        <v>31</v>
      </c>
      <c r="C2679" s="19">
        <f>40684+(3*365)</f>
        <v>41779</v>
      </c>
      <c r="D2679" s="18" t="s">
        <v>76</v>
      </c>
      <c r="E2679" s="18" t="s">
        <v>63</v>
      </c>
      <c r="F2679" s="21">
        <v>540</v>
      </c>
    </row>
    <row r="2680" spans="2:6" x14ac:dyDescent="0.25">
      <c r="B2680" s="18" t="s">
        <v>8</v>
      </c>
      <c r="C2680" s="19">
        <f>40834+(3*365)</f>
        <v>41929</v>
      </c>
      <c r="D2680" s="18" t="s">
        <v>77</v>
      </c>
      <c r="E2680" s="18" t="s">
        <v>66</v>
      </c>
      <c r="F2680" s="21">
        <v>996</v>
      </c>
    </row>
    <row r="2681" spans="2:6" x14ac:dyDescent="0.25">
      <c r="B2681" s="18" t="s">
        <v>21</v>
      </c>
      <c r="C2681" s="19">
        <f>40159+(3*365)</f>
        <v>41254</v>
      </c>
      <c r="D2681" s="18" t="s">
        <v>73</v>
      </c>
      <c r="E2681" s="18" t="s">
        <v>66</v>
      </c>
      <c r="F2681" s="21">
        <v>256</v>
      </c>
    </row>
    <row r="2682" spans="2:6" x14ac:dyDescent="0.25">
      <c r="B2682" s="18" t="s">
        <v>25</v>
      </c>
      <c r="C2682" s="19">
        <f>40105+(3*365)</f>
        <v>41200</v>
      </c>
      <c r="D2682" s="18" t="s">
        <v>78</v>
      </c>
      <c r="E2682" s="18" t="s">
        <v>61</v>
      </c>
      <c r="F2682" s="21">
        <v>846</v>
      </c>
    </row>
    <row r="2683" spans="2:6" x14ac:dyDescent="0.25">
      <c r="B2683" s="18" t="s">
        <v>11</v>
      </c>
      <c r="C2683" s="19">
        <f>40695+(3*365)</f>
        <v>41790</v>
      </c>
      <c r="D2683" s="18" t="s">
        <v>60</v>
      </c>
      <c r="E2683" s="18" t="s">
        <v>61</v>
      </c>
      <c r="F2683" s="21">
        <v>210</v>
      </c>
    </row>
    <row r="2684" spans="2:6" x14ac:dyDescent="0.25">
      <c r="B2684" s="18" t="s">
        <v>31</v>
      </c>
      <c r="C2684" s="19">
        <f>40195+(3*365)</f>
        <v>41290</v>
      </c>
      <c r="D2684" s="18" t="s">
        <v>70</v>
      </c>
      <c r="E2684" s="18" t="s">
        <v>59</v>
      </c>
      <c r="F2684" s="21">
        <v>156</v>
      </c>
    </row>
    <row r="2685" spans="2:6" x14ac:dyDescent="0.25">
      <c r="B2685" s="18" t="s">
        <v>9</v>
      </c>
      <c r="C2685" s="19">
        <f>40501+(3*365)</f>
        <v>41596</v>
      </c>
      <c r="D2685" s="18" t="s">
        <v>62</v>
      </c>
      <c r="E2685" s="18" t="s">
        <v>75</v>
      </c>
      <c r="F2685" s="21">
        <v>216</v>
      </c>
    </row>
    <row r="2686" spans="2:6" x14ac:dyDescent="0.25">
      <c r="B2686" s="18" t="s">
        <v>8</v>
      </c>
      <c r="C2686" s="19">
        <f>41232+(3*365)</f>
        <v>42327</v>
      </c>
      <c r="D2686" s="18" t="s">
        <v>77</v>
      </c>
      <c r="E2686" s="18" t="s">
        <v>61</v>
      </c>
      <c r="F2686" s="21">
        <v>1008</v>
      </c>
    </row>
    <row r="2687" spans="2:6" x14ac:dyDescent="0.25">
      <c r="B2687" s="18" t="s">
        <v>31</v>
      </c>
      <c r="C2687" s="19">
        <f>41110+(3*365)</f>
        <v>42205</v>
      </c>
      <c r="D2687" s="18" t="s">
        <v>76</v>
      </c>
      <c r="E2687" s="18" t="s">
        <v>64</v>
      </c>
      <c r="F2687" s="21">
        <v>5490</v>
      </c>
    </row>
    <row r="2688" spans="2:6" x14ac:dyDescent="0.25">
      <c r="B2688" s="18" t="s">
        <v>21</v>
      </c>
      <c r="C2688" s="19">
        <f>40084+(3*365)</f>
        <v>41179</v>
      </c>
      <c r="D2688" s="18" t="s">
        <v>58</v>
      </c>
      <c r="E2688" s="18" t="s">
        <v>72</v>
      </c>
      <c r="F2688" s="21">
        <v>486</v>
      </c>
    </row>
    <row r="2689" spans="2:6" x14ac:dyDescent="0.25">
      <c r="B2689" s="18" t="s">
        <v>10</v>
      </c>
      <c r="C2689" s="19">
        <f>41117+(3*365)</f>
        <v>42212</v>
      </c>
      <c r="D2689" s="18" t="s">
        <v>65</v>
      </c>
      <c r="E2689" s="18" t="s">
        <v>63</v>
      </c>
      <c r="F2689" s="21">
        <v>1416</v>
      </c>
    </row>
    <row r="2690" spans="2:6" x14ac:dyDescent="0.25">
      <c r="B2690" s="18" t="s">
        <v>21</v>
      </c>
      <c r="C2690" s="19">
        <f>40164+(3*365)</f>
        <v>41259</v>
      </c>
      <c r="D2690" s="18" t="s">
        <v>58</v>
      </c>
      <c r="E2690" s="18" t="s">
        <v>61</v>
      </c>
      <c r="F2690" s="21">
        <v>343</v>
      </c>
    </row>
    <row r="2691" spans="2:6" x14ac:dyDescent="0.25">
      <c r="B2691" s="18" t="s">
        <v>8</v>
      </c>
      <c r="C2691" s="19">
        <f>40398+(3*365)</f>
        <v>41493</v>
      </c>
      <c r="D2691" s="18" t="s">
        <v>81</v>
      </c>
      <c r="E2691" s="18" t="s">
        <v>72</v>
      </c>
      <c r="F2691" s="21">
        <v>404</v>
      </c>
    </row>
    <row r="2692" spans="2:6" x14ac:dyDescent="0.25">
      <c r="B2692" s="18" t="s">
        <v>18</v>
      </c>
      <c r="C2692" s="19">
        <f>40974+(3*365)</f>
        <v>42069</v>
      </c>
      <c r="D2692" s="18" t="s">
        <v>68</v>
      </c>
      <c r="E2692" s="18" t="s">
        <v>64</v>
      </c>
      <c r="F2692" s="21">
        <v>2370</v>
      </c>
    </row>
    <row r="2693" spans="2:6" x14ac:dyDescent="0.25">
      <c r="B2693" s="18" t="s">
        <v>10</v>
      </c>
      <c r="C2693" s="19">
        <f>40313+(3*365)</f>
        <v>41408</v>
      </c>
      <c r="D2693" s="18" t="s">
        <v>65</v>
      </c>
      <c r="E2693" s="18" t="s">
        <v>72</v>
      </c>
      <c r="F2693" s="21">
        <v>3675</v>
      </c>
    </row>
    <row r="2694" spans="2:6" x14ac:dyDescent="0.25">
      <c r="B2694" s="18" t="s">
        <v>9</v>
      </c>
      <c r="C2694" s="19">
        <f>40650+(3*365)</f>
        <v>41745</v>
      </c>
      <c r="D2694" s="18" t="s">
        <v>80</v>
      </c>
      <c r="E2694" s="18" t="s">
        <v>66</v>
      </c>
      <c r="F2694" s="21">
        <v>240</v>
      </c>
    </row>
    <row r="2695" spans="2:6" x14ac:dyDescent="0.25">
      <c r="B2695" s="18" t="s">
        <v>10</v>
      </c>
      <c r="C2695" s="19">
        <f>40623+(3*365)</f>
        <v>41718</v>
      </c>
      <c r="D2695" s="18" t="s">
        <v>67</v>
      </c>
      <c r="E2695" s="18" t="s">
        <v>72</v>
      </c>
      <c r="F2695" s="21">
        <v>144</v>
      </c>
    </row>
    <row r="2696" spans="2:6" x14ac:dyDescent="0.25">
      <c r="B2696" s="18" t="s">
        <v>25</v>
      </c>
      <c r="C2696" s="19">
        <f>40180+(3*365)</f>
        <v>41275</v>
      </c>
      <c r="D2696" s="18" t="s">
        <v>78</v>
      </c>
      <c r="E2696" s="18" t="s">
        <v>61</v>
      </c>
      <c r="F2696" s="21">
        <v>75</v>
      </c>
    </row>
    <row r="2697" spans="2:6" x14ac:dyDescent="0.25">
      <c r="B2697" s="18" t="s">
        <v>8</v>
      </c>
      <c r="C2697" s="19">
        <f>39885+(3*365)</f>
        <v>40980</v>
      </c>
      <c r="D2697" s="18" t="s">
        <v>77</v>
      </c>
      <c r="E2697" s="18" t="s">
        <v>61</v>
      </c>
      <c r="F2697" s="21">
        <v>2133</v>
      </c>
    </row>
    <row r="2698" spans="2:6" x14ac:dyDescent="0.25">
      <c r="B2698" s="18" t="s">
        <v>21</v>
      </c>
      <c r="C2698" s="19">
        <f>40697+(3*365)</f>
        <v>41792</v>
      </c>
      <c r="D2698" s="18" t="s">
        <v>58</v>
      </c>
      <c r="E2698" s="18" t="s">
        <v>63</v>
      </c>
      <c r="F2698" s="21">
        <v>585</v>
      </c>
    </row>
    <row r="2699" spans="2:6" x14ac:dyDescent="0.25">
      <c r="B2699" s="18" t="s">
        <v>31</v>
      </c>
      <c r="C2699" s="19">
        <f>40218+(3*365)</f>
        <v>41313</v>
      </c>
      <c r="D2699" s="18" t="s">
        <v>76</v>
      </c>
      <c r="E2699" s="18" t="s">
        <v>72</v>
      </c>
      <c r="F2699" s="21">
        <v>585</v>
      </c>
    </row>
    <row r="2700" spans="2:6" x14ac:dyDescent="0.25">
      <c r="B2700" s="18" t="s">
        <v>9</v>
      </c>
      <c r="C2700" s="19">
        <f>39912+(3*365)</f>
        <v>41007</v>
      </c>
      <c r="D2700" s="18" t="s">
        <v>80</v>
      </c>
      <c r="E2700" s="18" t="s">
        <v>75</v>
      </c>
      <c r="F2700" s="21">
        <v>186</v>
      </c>
    </row>
    <row r="2701" spans="2:6" x14ac:dyDescent="0.25">
      <c r="B2701" s="18" t="s">
        <v>10</v>
      </c>
      <c r="C2701" s="19">
        <f>40678+(3*365)</f>
        <v>41773</v>
      </c>
      <c r="D2701" s="18" t="s">
        <v>67</v>
      </c>
      <c r="E2701" s="18" t="s">
        <v>66</v>
      </c>
      <c r="F2701" s="21">
        <v>720</v>
      </c>
    </row>
    <row r="2702" spans="2:6" x14ac:dyDescent="0.25">
      <c r="B2702" s="18" t="s">
        <v>8</v>
      </c>
      <c r="C2702" s="19">
        <f>40397+(3*365)</f>
        <v>41492</v>
      </c>
      <c r="D2702" s="18" t="s">
        <v>81</v>
      </c>
      <c r="E2702" s="18" t="s">
        <v>64</v>
      </c>
      <c r="F2702" s="21">
        <v>15520</v>
      </c>
    </row>
    <row r="2703" spans="2:6" x14ac:dyDescent="0.25">
      <c r="B2703" s="18" t="s">
        <v>25</v>
      </c>
      <c r="C2703" s="19">
        <f>40352+(3*365)</f>
        <v>41447</v>
      </c>
      <c r="D2703" s="18" t="s">
        <v>78</v>
      </c>
      <c r="E2703" s="18" t="s">
        <v>66</v>
      </c>
      <c r="F2703" s="21">
        <v>690</v>
      </c>
    </row>
    <row r="2704" spans="2:6" x14ac:dyDescent="0.25">
      <c r="B2704" s="18" t="s">
        <v>18</v>
      </c>
      <c r="C2704" s="19">
        <f>41231+(3*365)</f>
        <v>42326</v>
      </c>
      <c r="D2704" s="18" t="s">
        <v>68</v>
      </c>
      <c r="E2704" s="18" t="s">
        <v>66</v>
      </c>
      <c r="F2704" s="21">
        <v>162</v>
      </c>
    </row>
    <row r="2705" spans="2:6" x14ac:dyDescent="0.25">
      <c r="B2705" s="18" t="s">
        <v>21</v>
      </c>
      <c r="C2705" s="19">
        <f>40196+(3*365)</f>
        <v>41291</v>
      </c>
      <c r="D2705" s="18" t="s">
        <v>73</v>
      </c>
      <c r="E2705" s="18" t="s">
        <v>64</v>
      </c>
      <c r="F2705" s="21">
        <v>11124</v>
      </c>
    </row>
    <row r="2706" spans="2:6" x14ac:dyDescent="0.25">
      <c r="B2706" s="18" t="s">
        <v>31</v>
      </c>
      <c r="C2706" s="19">
        <f>40606+(3*365)</f>
        <v>41701</v>
      </c>
      <c r="D2706" s="18" t="s">
        <v>76</v>
      </c>
      <c r="E2706" s="18" t="s">
        <v>66</v>
      </c>
      <c r="F2706" s="21">
        <v>414</v>
      </c>
    </row>
    <row r="2707" spans="2:6" x14ac:dyDescent="0.25">
      <c r="B2707" s="18" t="s">
        <v>9</v>
      </c>
      <c r="C2707" s="19">
        <f>40520+(3*365)</f>
        <v>41615</v>
      </c>
      <c r="D2707" s="18" t="s">
        <v>80</v>
      </c>
      <c r="E2707" s="18" t="s">
        <v>61</v>
      </c>
      <c r="F2707" s="21">
        <v>414</v>
      </c>
    </row>
    <row r="2708" spans="2:6" x14ac:dyDescent="0.25">
      <c r="B2708" s="18" t="s">
        <v>9</v>
      </c>
      <c r="C2708" s="19">
        <f>40846+(3*365)</f>
        <v>41941</v>
      </c>
      <c r="D2708" s="18" t="s">
        <v>80</v>
      </c>
      <c r="E2708" s="18" t="s">
        <v>59</v>
      </c>
      <c r="F2708" s="21">
        <v>609</v>
      </c>
    </row>
    <row r="2709" spans="2:6" x14ac:dyDescent="0.25">
      <c r="B2709" s="18" t="s">
        <v>9</v>
      </c>
      <c r="C2709" s="19">
        <f>40220+(3*365)</f>
        <v>41315</v>
      </c>
      <c r="D2709" s="18" t="s">
        <v>62</v>
      </c>
      <c r="E2709" s="18" t="s">
        <v>66</v>
      </c>
      <c r="F2709" s="21">
        <v>558</v>
      </c>
    </row>
    <row r="2710" spans="2:6" x14ac:dyDescent="0.25">
      <c r="B2710" s="18" t="s">
        <v>18</v>
      </c>
      <c r="C2710" s="19">
        <f>40555+(3*365)</f>
        <v>41650</v>
      </c>
      <c r="D2710" s="18" t="s">
        <v>71</v>
      </c>
      <c r="E2710" s="18" t="s">
        <v>64</v>
      </c>
      <c r="F2710" s="21">
        <v>7920</v>
      </c>
    </row>
    <row r="2711" spans="2:6" x14ac:dyDescent="0.25">
      <c r="B2711" s="18" t="s">
        <v>9</v>
      </c>
      <c r="C2711" s="19">
        <f>40876+(3*365)</f>
        <v>41971</v>
      </c>
      <c r="D2711" s="18" t="s">
        <v>62</v>
      </c>
      <c r="E2711" s="18" t="s">
        <v>66</v>
      </c>
      <c r="F2711" s="21">
        <v>504</v>
      </c>
    </row>
    <row r="2712" spans="2:6" x14ac:dyDescent="0.25">
      <c r="B2712" s="18" t="s">
        <v>11</v>
      </c>
      <c r="C2712" s="19">
        <f>41198+(3*365)</f>
        <v>42293</v>
      </c>
      <c r="D2712" s="18" t="s">
        <v>60</v>
      </c>
      <c r="E2712" s="18" t="s">
        <v>63</v>
      </c>
      <c r="F2712" s="21">
        <v>500</v>
      </c>
    </row>
    <row r="2713" spans="2:6" x14ac:dyDescent="0.25">
      <c r="B2713" s="18" t="s">
        <v>10</v>
      </c>
      <c r="C2713" s="19">
        <f>40815+(3*365)</f>
        <v>41910</v>
      </c>
      <c r="D2713" s="18" t="s">
        <v>67</v>
      </c>
      <c r="E2713" s="18" t="s">
        <v>75</v>
      </c>
      <c r="F2713" s="21">
        <v>128</v>
      </c>
    </row>
    <row r="2714" spans="2:6" x14ac:dyDescent="0.25">
      <c r="B2714" s="18" t="s">
        <v>8</v>
      </c>
      <c r="C2714" s="19">
        <f>41159+(3*365)</f>
        <v>42254</v>
      </c>
      <c r="D2714" s="18" t="s">
        <v>77</v>
      </c>
      <c r="E2714" s="18" t="s">
        <v>72</v>
      </c>
      <c r="F2714" s="21">
        <v>2772</v>
      </c>
    </row>
    <row r="2715" spans="2:6" x14ac:dyDescent="0.25">
      <c r="B2715" s="18" t="s">
        <v>8</v>
      </c>
      <c r="C2715" s="19">
        <f>40967+(3*365)</f>
        <v>42062</v>
      </c>
      <c r="D2715" s="18" t="s">
        <v>81</v>
      </c>
      <c r="E2715" s="18" t="s">
        <v>66</v>
      </c>
      <c r="F2715" s="21">
        <v>128</v>
      </c>
    </row>
    <row r="2716" spans="2:6" x14ac:dyDescent="0.25">
      <c r="B2716" s="18" t="s">
        <v>11</v>
      </c>
      <c r="C2716" s="19">
        <f>41227+(3*365)</f>
        <v>42322</v>
      </c>
      <c r="D2716" s="18" t="s">
        <v>74</v>
      </c>
      <c r="E2716" s="18" t="s">
        <v>72</v>
      </c>
      <c r="F2716" s="21">
        <v>2400</v>
      </c>
    </row>
    <row r="2717" spans="2:6" x14ac:dyDescent="0.25">
      <c r="B2717" s="18" t="s">
        <v>18</v>
      </c>
      <c r="C2717" s="19">
        <f>40470+(3*365)</f>
        <v>41565</v>
      </c>
      <c r="D2717" s="18" t="s">
        <v>68</v>
      </c>
      <c r="E2717" s="18" t="s">
        <v>69</v>
      </c>
      <c r="F2717" s="21">
        <v>4887</v>
      </c>
    </row>
    <row r="2718" spans="2:6" x14ac:dyDescent="0.25">
      <c r="B2718" s="18" t="s">
        <v>8</v>
      </c>
      <c r="C2718" s="19">
        <f>41042+(3*365)</f>
        <v>42137</v>
      </c>
      <c r="D2718" s="18" t="s">
        <v>81</v>
      </c>
      <c r="E2718" s="18" t="s">
        <v>64</v>
      </c>
      <c r="F2718" s="21">
        <v>11640</v>
      </c>
    </row>
    <row r="2719" spans="2:6" x14ac:dyDescent="0.25">
      <c r="B2719" s="18" t="s">
        <v>11</v>
      </c>
      <c r="C2719" s="19">
        <f>39817+(3*365)</f>
        <v>40912</v>
      </c>
      <c r="D2719" s="18" t="s">
        <v>74</v>
      </c>
      <c r="E2719" s="18" t="s">
        <v>66</v>
      </c>
      <c r="F2719" s="21">
        <v>684</v>
      </c>
    </row>
    <row r="2720" spans="2:6" x14ac:dyDescent="0.25">
      <c r="B2720" s="18" t="s">
        <v>11</v>
      </c>
      <c r="C2720" s="19">
        <f>39975+(3*365)</f>
        <v>41070</v>
      </c>
      <c r="D2720" s="18" t="s">
        <v>60</v>
      </c>
      <c r="E2720" s="18" t="s">
        <v>75</v>
      </c>
      <c r="F2720" s="21">
        <v>132</v>
      </c>
    </row>
    <row r="2721" spans="2:6" x14ac:dyDescent="0.25">
      <c r="B2721" s="18" t="s">
        <v>9</v>
      </c>
      <c r="C2721" s="19">
        <f>41270+(3*365)</f>
        <v>42365</v>
      </c>
      <c r="D2721" s="18" t="s">
        <v>62</v>
      </c>
      <c r="E2721" s="18" t="s">
        <v>66</v>
      </c>
      <c r="F2721" s="21">
        <v>588</v>
      </c>
    </row>
    <row r="2722" spans="2:6" x14ac:dyDescent="0.25">
      <c r="B2722" s="18" t="s">
        <v>8</v>
      </c>
      <c r="C2722" s="19">
        <f>41074+(3*365)</f>
        <v>42169</v>
      </c>
      <c r="D2722" s="18" t="s">
        <v>77</v>
      </c>
      <c r="E2722" s="18" t="s">
        <v>69</v>
      </c>
      <c r="F2722" s="21">
        <v>5632</v>
      </c>
    </row>
    <row r="2723" spans="2:6" x14ac:dyDescent="0.25">
      <c r="B2723" s="18" t="s">
        <v>10</v>
      </c>
      <c r="C2723" s="19">
        <f>41227+(3*365)</f>
        <v>42322</v>
      </c>
      <c r="D2723" s="18" t="s">
        <v>65</v>
      </c>
      <c r="E2723" s="18" t="s">
        <v>64</v>
      </c>
      <c r="F2723" s="21">
        <v>1878</v>
      </c>
    </row>
    <row r="2724" spans="2:6" x14ac:dyDescent="0.25">
      <c r="B2724" s="18" t="s">
        <v>31</v>
      </c>
      <c r="C2724" s="19">
        <f>40809+(3*365)</f>
        <v>41904</v>
      </c>
      <c r="D2724" s="18" t="s">
        <v>70</v>
      </c>
      <c r="E2724" s="18" t="s">
        <v>59</v>
      </c>
      <c r="F2724" s="21">
        <v>648</v>
      </c>
    </row>
    <row r="2725" spans="2:6" x14ac:dyDescent="0.25">
      <c r="B2725" s="18" t="s">
        <v>31</v>
      </c>
      <c r="C2725" s="19">
        <f>40077+(3*365)</f>
        <v>41172</v>
      </c>
      <c r="D2725" s="18" t="s">
        <v>76</v>
      </c>
      <c r="E2725" s="18" t="s">
        <v>63</v>
      </c>
      <c r="F2725" s="21">
        <v>1656</v>
      </c>
    </row>
    <row r="2726" spans="2:6" x14ac:dyDescent="0.25">
      <c r="B2726" s="18" t="s">
        <v>31</v>
      </c>
      <c r="C2726" s="19">
        <f>40004+(3*365)</f>
        <v>41099</v>
      </c>
      <c r="D2726" s="18" t="s">
        <v>76</v>
      </c>
      <c r="E2726" s="18" t="s">
        <v>63</v>
      </c>
      <c r="F2726" s="21">
        <v>522</v>
      </c>
    </row>
    <row r="2727" spans="2:6" x14ac:dyDescent="0.25">
      <c r="B2727" s="18" t="s">
        <v>10</v>
      </c>
      <c r="C2727" s="19">
        <f>40639+(3*365)</f>
        <v>41734</v>
      </c>
      <c r="D2727" s="18" t="s">
        <v>65</v>
      </c>
      <c r="E2727" s="18" t="s">
        <v>69</v>
      </c>
      <c r="F2727" s="21">
        <v>178</v>
      </c>
    </row>
    <row r="2728" spans="2:6" x14ac:dyDescent="0.25">
      <c r="B2728" s="18" t="s">
        <v>31</v>
      </c>
      <c r="C2728" s="19">
        <f>40905+(3*365)</f>
        <v>42000</v>
      </c>
      <c r="D2728" s="18" t="s">
        <v>70</v>
      </c>
      <c r="E2728" s="18" t="s">
        <v>59</v>
      </c>
      <c r="F2728" s="21">
        <v>264</v>
      </c>
    </row>
    <row r="2729" spans="2:6" x14ac:dyDescent="0.25">
      <c r="B2729" s="18" t="s">
        <v>18</v>
      </c>
      <c r="C2729" s="19">
        <f>40365+(3*365)</f>
        <v>41460</v>
      </c>
      <c r="D2729" s="18" t="s">
        <v>68</v>
      </c>
      <c r="E2729" s="18" t="s">
        <v>63</v>
      </c>
      <c r="F2729" s="21">
        <v>120</v>
      </c>
    </row>
    <row r="2730" spans="2:6" x14ac:dyDescent="0.25">
      <c r="B2730" s="18" t="s">
        <v>8</v>
      </c>
      <c r="C2730" s="19">
        <f>40026+(3*365)</f>
        <v>41121</v>
      </c>
      <c r="D2730" s="18" t="s">
        <v>77</v>
      </c>
      <c r="E2730" s="18" t="s">
        <v>59</v>
      </c>
      <c r="F2730" s="21">
        <v>432</v>
      </c>
    </row>
    <row r="2731" spans="2:6" x14ac:dyDescent="0.25">
      <c r="B2731" s="18" t="s">
        <v>25</v>
      </c>
      <c r="C2731" s="19">
        <f>40404+(3*365)</f>
        <v>41499</v>
      </c>
      <c r="D2731" s="18" t="s">
        <v>79</v>
      </c>
      <c r="E2731" s="18" t="s">
        <v>72</v>
      </c>
      <c r="F2731" s="21">
        <v>2808</v>
      </c>
    </row>
    <row r="2732" spans="2:6" x14ac:dyDescent="0.25">
      <c r="B2732" s="18" t="s">
        <v>18</v>
      </c>
      <c r="C2732" s="19">
        <f>40051+(3*365)</f>
        <v>41146</v>
      </c>
      <c r="D2732" s="18" t="s">
        <v>71</v>
      </c>
      <c r="E2732" s="18" t="s">
        <v>72</v>
      </c>
      <c r="F2732" s="21">
        <v>376</v>
      </c>
    </row>
    <row r="2733" spans="2:6" x14ac:dyDescent="0.25">
      <c r="B2733" s="18" t="s">
        <v>21</v>
      </c>
      <c r="C2733" s="19">
        <f>40631+(3*365)</f>
        <v>41726</v>
      </c>
      <c r="D2733" s="18" t="s">
        <v>58</v>
      </c>
      <c r="E2733" s="18" t="s">
        <v>59</v>
      </c>
      <c r="F2733" s="21">
        <v>792</v>
      </c>
    </row>
    <row r="2734" spans="2:6" x14ac:dyDescent="0.25">
      <c r="B2734" s="18" t="s">
        <v>9</v>
      </c>
      <c r="C2734" s="19">
        <f>40049+(3*365)</f>
        <v>41144</v>
      </c>
      <c r="D2734" s="18" t="s">
        <v>80</v>
      </c>
      <c r="E2734" s="18" t="s">
        <v>61</v>
      </c>
      <c r="F2734" s="21">
        <v>768</v>
      </c>
    </row>
    <row r="2735" spans="2:6" x14ac:dyDescent="0.25">
      <c r="B2735" s="18" t="s">
        <v>9</v>
      </c>
      <c r="C2735" s="19">
        <f>40753+(3*365)</f>
        <v>41848</v>
      </c>
      <c r="D2735" s="18" t="s">
        <v>62</v>
      </c>
      <c r="E2735" s="18" t="s">
        <v>75</v>
      </c>
      <c r="F2735" s="21">
        <v>228</v>
      </c>
    </row>
    <row r="2736" spans="2:6" x14ac:dyDescent="0.25">
      <c r="B2736" s="18" t="s">
        <v>25</v>
      </c>
      <c r="C2736" s="19">
        <f>39924+(3*365)</f>
        <v>41019</v>
      </c>
      <c r="D2736" s="18" t="s">
        <v>79</v>
      </c>
      <c r="E2736" s="18" t="s">
        <v>61</v>
      </c>
      <c r="F2736" s="21">
        <v>330</v>
      </c>
    </row>
    <row r="2737" spans="2:6" x14ac:dyDescent="0.25">
      <c r="B2737" s="18" t="s">
        <v>21</v>
      </c>
      <c r="C2737" s="19">
        <f>40747+(3*365)</f>
        <v>41842</v>
      </c>
      <c r="D2737" s="18" t="s">
        <v>73</v>
      </c>
      <c r="E2737" s="18" t="s">
        <v>69</v>
      </c>
      <c r="F2737" s="21">
        <v>1275</v>
      </c>
    </row>
    <row r="2738" spans="2:6" x14ac:dyDescent="0.25">
      <c r="B2738" s="18" t="s">
        <v>9</v>
      </c>
      <c r="C2738" s="19">
        <f>40348+(3*365)</f>
        <v>41443</v>
      </c>
      <c r="D2738" s="18" t="s">
        <v>62</v>
      </c>
      <c r="E2738" s="18" t="s">
        <v>72</v>
      </c>
      <c r="F2738" s="21">
        <v>1550</v>
      </c>
    </row>
    <row r="2739" spans="2:6" x14ac:dyDescent="0.25">
      <c r="B2739" s="18" t="s">
        <v>8</v>
      </c>
      <c r="C2739" s="19">
        <f>40346+(3*365)</f>
        <v>41441</v>
      </c>
      <c r="D2739" s="18" t="s">
        <v>81</v>
      </c>
      <c r="E2739" s="18" t="s">
        <v>72</v>
      </c>
      <c r="F2739" s="21">
        <v>2316</v>
      </c>
    </row>
    <row r="2740" spans="2:6" x14ac:dyDescent="0.25">
      <c r="B2740" s="18" t="s">
        <v>10</v>
      </c>
      <c r="C2740" s="19">
        <f>40831+(3*365)</f>
        <v>41926</v>
      </c>
      <c r="D2740" s="18" t="s">
        <v>67</v>
      </c>
      <c r="E2740" s="18" t="s">
        <v>66</v>
      </c>
      <c r="F2740" s="21">
        <v>756</v>
      </c>
    </row>
    <row r="2741" spans="2:6" x14ac:dyDescent="0.25">
      <c r="B2741" s="18" t="s">
        <v>9</v>
      </c>
      <c r="C2741" s="19">
        <f>40702+(3*365)</f>
        <v>41797</v>
      </c>
      <c r="D2741" s="18" t="s">
        <v>62</v>
      </c>
      <c r="E2741" s="18" t="s">
        <v>64</v>
      </c>
      <c r="F2741" s="21">
        <v>6408</v>
      </c>
    </row>
    <row r="2742" spans="2:6" x14ac:dyDescent="0.25">
      <c r="B2742" s="18" t="s">
        <v>18</v>
      </c>
      <c r="C2742" s="19">
        <f>40882+(3*365)</f>
        <v>41977</v>
      </c>
      <c r="D2742" s="18" t="s">
        <v>71</v>
      </c>
      <c r="E2742" s="18" t="s">
        <v>75</v>
      </c>
      <c r="F2742" s="21">
        <v>400</v>
      </c>
    </row>
    <row r="2743" spans="2:6" x14ac:dyDescent="0.25">
      <c r="B2743" s="18" t="s">
        <v>10</v>
      </c>
      <c r="C2743" s="19">
        <f>39907+(3*365)</f>
        <v>41002</v>
      </c>
      <c r="D2743" s="18" t="s">
        <v>65</v>
      </c>
      <c r="E2743" s="18" t="s">
        <v>66</v>
      </c>
      <c r="F2743" s="21">
        <v>1416</v>
      </c>
    </row>
    <row r="2744" spans="2:6" x14ac:dyDescent="0.25">
      <c r="B2744" s="18" t="s">
        <v>11</v>
      </c>
      <c r="C2744" s="19">
        <f>40981+(3*365)</f>
        <v>42076</v>
      </c>
      <c r="D2744" s="18" t="s">
        <v>60</v>
      </c>
      <c r="E2744" s="18" t="s">
        <v>59</v>
      </c>
      <c r="F2744" s="21">
        <v>756</v>
      </c>
    </row>
    <row r="2745" spans="2:6" x14ac:dyDescent="0.25">
      <c r="B2745" s="18" t="s">
        <v>10</v>
      </c>
      <c r="C2745" s="19">
        <f>40895+(3*365)</f>
        <v>41990</v>
      </c>
      <c r="D2745" s="18" t="s">
        <v>67</v>
      </c>
      <c r="E2745" s="18" t="s">
        <v>72</v>
      </c>
      <c r="F2745" s="21">
        <v>1566</v>
      </c>
    </row>
    <row r="2746" spans="2:6" x14ac:dyDescent="0.25">
      <c r="B2746" s="18" t="s">
        <v>18</v>
      </c>
      <c r="C2746" s="19">
        <f>40996+(3*365)</f>
        <v>42091</v>
      </c>
      <c r="D2746" s="18" t="s">
        <v>71</v>
      </c>
      <c r="E2746" s="18" t="s">
        <v>59</v>
      </c>
      <c r="F2746" s="21">
        <v>567</v>
      </c>
    </row>
    <row r="2747" spans="2:6" x14ac:dyDescent="0.25">
      <c r="B2747" s="18" t="s">
        <v>25</v>
      </c>
      <c r="C2747" s="19">
        <f>39902+(3*365)</f>
        <v>40997</v>
      </c>
      <c r="D2747" s="18" t="s">
        <v>78</v>
      </c>
      <c r="E2747" s="18" t="s">
        <v>59</v>
      </c>
      <c r="F2747" s="21">
        <v>256</v>
      </c>
    </row>
    <row r="2748" spans="2:6" x14ac:dyDescent="0.25">
      <c r="B2748" s="18" t="s">
        <v>9</v>
      </c>
      <c r="C2748" s="19">
        <f>40981+(3*365)</f>
        <v>42076</v>
      </c>
      <c r="D2748" s="18" t="s">
        <v>62</v>
      </c>
      <c r="E2748" s="18" t="s">
        <v>66</v>
      </c>
      <c r="F2748" s="21">
        <v>168</v>
      </c>
    </row>
    <row r="2749" spans="2:6" x14ac:dyDescent="0.25">
      <c r="B2749" s="18" t="s">
        <v>8</v>
      </c>
      <c r="C2749" s="19">
        <f>40114+(3*365)</f>
        <v>41209</v>
      </c>
      <c r="D2749" s="18" t="s">
        <v>77</v>
      </c>
      <c r="E2749" s="18" t="s">
        <v>64</v>
      </c>
      <c r="F2749" s="21">
        <v>14784</v>
      </c>
    </row>
    <row r="2750" spans="2:6" x14ac:dyDescent="0.25">
      <c r="B2750" s="18" t="s">
        <v>8</v>
      </c>
      <c r="C2750" s="19">
        <f>41183+(3*365)</f>
        <v>42278</v>
      </c>
      <c r="D2750" s="18" t="s">
        <v>77</v>
      </c>
      <c r="E2750" s="18" t="s">
        <v>64</v>
      </c>
      <c r="F2750" s="21">
        <v>17448</v>
      </c>
    </row>
    <row r="2751" spans="2:6" x14ac:dyDescent="0.25">
      <c r="B2751" s="18" t="s">
        <v>25</v>
      </c>
      <c r="C2751" s="19">
        <f>40901+(3*365)</f>
        <v>41996</v>
      </c>
      <c r="D2751" s="18" t="s">
        <v>79</v>
      </c>
      <c r="E2751" s="18" t="s">
        <v>59</v>
      </c>
      <c r="F2751" s="21">
        <v>120</v>
      </c>
    </row>
    <row r="2752" spans="2:6" x14ac:dyDescent="0.25">
      <c r="B2752" s="18" t="s">
        <v>11</v>
      </c>
      <c r="C2752" s="19">
        <f>41056+(3*365)</f>
        <v>42151</v>
      </c>
      <c r="D2752" s="18" t="s">
        <v>60</v>
      </c>
      <c r="E2752" s="18" t="s">
        <v>64</v>
      </c>
      <c r="F2752" s="21">
        <v>11312</v>
      </c>
    </row>
    <row r="2753" spans="2:6" x14ac:dyDescent="0.25">
      <c r="B2753" s="18" t="s">
        <v>9</v>
      </c>
      <c r="C2753" s="19">
        <f>40833+(3*365)</f>
        <v>41928</v>
      </c>
      <c r="D2753" s="18" t="s">
        <v>80</v>
      </c>
      <c r="E2753" s="18" t="s">
        <v>64</v>
      </c>
      <c r="F2753" s="21">
        <v>3144</v>
      </c>
    </row>
    <row r="2754" spans="2:6" x14ac:dyDescent="0.25">
      <c r="B2754" s="18" t="s">
        <v>18</v>
      </c>
      <c r="C2754" s="19">
        <f>40063+(3*365)</f>
        <v>41158</v>
      </c>
      <c r="D2754" s="18" t="s">
        <v>71</v>
      </c>
      <c r="E2754" s="18" t="s">
        <v>64</v>
      </c>
      <c r="F2754" s="21">
        <v>1920</v>
      </c>
    </row>
    <row r="2755" spans="2:6" x14ac:dyDescent="0.25">
      <c r="B2755" s="18" t="s">
        <v>18</v>
      </c>
      <c r="C2755" s="19">
        <f>39954+(3*365)</f>
        <v>41049</v>
      </c>
      <c r="D2755" s="18" t="s">
        <v>71</v>
      </c>
      <c r="E2755" s="18" t="s">
        <v>69</v>
      </c>
      <c r="F2755" s="21">
        <v>1284</v>
      </c>
    </row>
    <row r="2756" spans="2:6" x14ac:dyDescent="0.25">
      <c r="B2756" s="18" t="s">
        <v>21</v>
      </c>
      <c r="C2756" s="19">
        <f>40233+(3*365)</f>
        <v>41328</v>
      </c>
      <c r="D2756" s="18" t="s">
        <v>58</v>
      </c>
      <c r="E2756" s="18" t="s">
        <v>75</v>
      </c>
      <c r="F2756" s="21">
        <v>152</v>
      </c>
    </row>
    <row r="2757" spans="2:6" x14ac:dyDescent="0.25">
      <c r="B2757" s="18" t="s">
        <v>9</v>
      </c>
      <c r="C2757" s="19">
        <f>40025+(3*365)</f>
        <v>41120</v>
      </c>
      <c r="D2757" s="18" t="s">
        <v>62</v>
      </c>
      <c r="E2757" s="18" t="s">
        <v>61</v>
      </c>
      <c r="F2757" s="21">
        <v>420</v>
      </c>
    </row>
    <row r="2758" spans="2:6" x14ac:dyDescent="0.25">
      <c r="B2758" s="18" t="s">
        <v>8</v>
      </c>
      <c r="C2758" s="19">
        <f>40692+(3*365)</f>
        <v>41787</v>
      </c>
      <c r="D2758" s="18" t="s">
        <v>81</v>
      </c>
      <c r="E2758" s="18" t="s">
        <v>66</v>
      </c>
      <c r="F2758" s="21">
        <v>1372</v>
      </c>
    </row>
    <row r="2759" spans="2:6" x14ac:dyDescent="0.25">
      <c r="B2759" s="18" t="s">
        <v>11</v>
      </c>
      <c r="C2759" s="19">
        <f>40725+(3*365)</f>
        <v>41820</v>
      </c>
      <c r="D2759" s="18" t="s">
        <v>60</v>
      </c>
      <c r="E2759" s="18" t="s">
        <v>64</v>
      </c>
      <c r="F2759" s="21">
        <v>8799</v>
      </c>
    </row>
    <row r="2760" spans="2:6" x14ac:dyDescent="0.25">
      <c r="B2760" s="18" t="s">
        <v>25</v>
      </c>
      <c r="C2760" s="19">
        <f>40476+(3*365)</f>
        <v>41571</v>
      </c>
      <c r="D2760" s="18" t="s">
        <v>79</v>
      </c>
      <c r="E2760" s="18" t="s">
        <v>72</v>
      </c>
      <c r="F2760" s="21">
        <v>5688</v>
      </c>
    </row>
    <row r="2761" spans="2:6" x14ac:dyDescent="0.25">
      <c r="B2761" s="18" t="s">
        <v>25</v>
      </c>
      <c r="C2761" s="19">
        <f>40491+(3*365)</f>
        <v>41586</v>
      </c>
      <c r="D2761" s="18" t="s">
        <v>78</v>
      </c>
      <c r="E2761" s="18" t="s">
        <v>75</v>
      </c>
      <c r="F2761" s="21">
        <v>240</v>
      </c>
    </row>
    <row r="2762" spans="2:6" x14ac:dyDescent="0.25">
      <c r="B2762" s="18" t="s">
        <v>25</v>
      </c>
      <c r="C2762" s="19">
        <f>40244+(3*365)</f>
        <v>41339</v>
      </c>
      <c r="D2762" s="18" t="s">
        <v>79</v>
      </c>
      <c r="E2762" s="18" t="s">
        <v>61</v>
      </c>
      <c r="F2762" s="21">
        <v>708</v>
      </c>
    </row>
    <row r="2763" spans="2:6" x14ac:dyDescent="0.25">
      <c r="B2763" s="18" t="s">
        <v>18</v>
      </c>
      <c r="C2763" s="19">
        <f>40139+(3*365)</f>
        <v>41234</v>
      </c>
      <c r="D2763" s="18" t="s">
        <v>68</v>
      </c>
      <c r="E2763" s="18" t="s">
        <v>61</v>
      </c>
      <c r="F2763" s="21">
        <v>142</v>
      </c>
    </row>
    <row r="2764" spans="2:6" x14ac:dyDescent="0.25">
      <c r="B2764" s="18" t="s">
        <v>18</v>
      </c>
      <c r="C2764" s="19">
        <f>40840+(3*365)</f>
        <v>41935</v>
      </c>
      <c r="D2764" s="18" t="s">
        <v>68</v>
      </c>
      <c r="E2764" s="18" t="s">
        <v>64</v>
      </c>
      <c r="F2764" s="21">
        <v>4212</v>
      </c>
    </row>
    <row r="2765" spans="2:6" x14ac:dyDescent="0.25">
      <c r="B2765" s="18" t="s">
        <v>11</v>
      </c>
      <c r="C2765" s="19">
        <f>41232+(3*365)</f>
        <v>42327</v>
      </c>
      <c r="D2765" s="18" t="s">
        <v>74</v>
      </c>
      <c r="E2765" s="18" t="s">
        <v>61</v>
      </c>
      <c r="F2765" s="21">
        <v>1176</v>
      </c>
    </row>
    <row r="2766" spans="2:6" x14ac:dyDescent="0.25">
      <c r="B2766" s="18" t="s">
        <v>25</v>
      </c>
      <c r="C2766" s="19">
        <f>40556+(3*365)</f>
        <v>41651</v>
      </c>
      <c r="D2766" s="18" t="s">
        <v>79</v>
      </c>
      <c r="E2766" s="18" t="s">
        <v>69</v>
      </c>
      <c r="F2766" s="21">
        <v>456</v>
      </c>
    </row>
    <row r="2767" spans="2:6" x14ac:dyDescent="0.25">
      <c r="B2767" s="18" t="s">
        <v>21</v>
      </c>
      <c r="C2767" s="19">
        <f>41236+(3*365)</f>
        <v>42331</v>
      </c>
      <c r="D2767" s="18" t="s">
        <v>73</v>
      </c>
      <c r="E2767" s="18" t="s">
        <v>59</v>
      </c>
      <c r="F2767" s="21">
        <v>660</v>
      </c>
    </row>
    <row r="2768" spans="2:6" x14ac:dyDescent="0.25">
      <c r="B2768" s="18" t="s">
        <v>11</v>
      </c>
      <c r="C2768" s="19">
        <f>40826+(3*365)</f>
        <v>41921</v>
      </c>
      <c r="D2768" s="18" t="s">
        <v>74</v>
      </c>
      <c r="E2768" s="18" t="s">
        <v>69</v>
      </c>
      <c r="F2768" s="21">
        <v>2160</v>
      </c>
    </row>
    <row r="2769" spans="2:6" x14ac:dyDescent="0.25">
      <c r="B2769" s="18" t="s">
        <v>10</v>
      </c>
      <c r="C2769" s="19">
        <f>41266+(3*365)</f>
        <v>42361</v>
      </c>
      <c r="D2769" s="18" t="s">
        <v>67</v>
      </c>
      <c r="E2769" s="18" t="s">
        <v>64</v>
      </c>
      <c r="F2769" s="21">
        <v>16551</v>
      </c>
    </row>
    <row r="2770" spans="2:6" x14ac:dyDescent="0.25">
      <c r="B2770" s="18" t="s">
        <v>11</v>
      </c>
      <c r="C2770" s="19">
        <f>39917+(3*365)</f>
        <v>41012</v>
      </c>
      <c r="D2770" s="18" t="s">
        <v>60</v>
      </c>
      <c r="E2770" s="18" t="s">
        <v>75</v>
      </c>
      <c r="F2770" s="21">
        <v>84</v>
      </c>
    </row>
    <row r="2771" spans="2:6" x14ac:dyDescent="0.25">
      <c r="B2771" s="18" t="s">
        <v>31</v>
      </c>
      <c r="C2771" s="19">
        <f>41142+(3*365)</f>
        <v>42237</v>
      </c>
      <c r="D2771" s="18" t="s">
        <v>76</v>
      </c>
      <c r="E2771" s="18" t="s">
        <v>64</v>
      </c>
      <c r="F2771" s="21">
        <v>5328</v>
      </c>
    </row>
    <row r="2772" spans="2:6" x14ac:dyDescent="0.25">
      <c r="B2772" s="18" t="s">
        <v>9</v>
      </c>
      <c r="C2772" s="19">
        <f>40564+(3*365)</f>
        <v>41659</v>
      </c>
      <c r="D2772" s="18" t="s">
        <v>80</v>
      </c>
      <c r="E2772" s="18" t="s">
        <v>63</v>
      </c>
      <c r="F2772" s="21">
        <v>1464</v>
      </c>
    </row>
    <row r="2773" spans="2:6" x14ac:dyDescent="0.25">
      <c r="B2773" s="18" t="s">
        <v>25</v>
      </c>
      <c r="C2773" s="19">
        <f>40420+(3*365)</f>
        <v>41515</v>
      </c>
      <c r="D2773" s="18" t="s">
        <v>79</v>
      </c>
      <c r="E2773" s="18" t="s">
        <v>59</v>
      </c>
      <c r="F2773" s="21">
        <v>234</v>
      </c>
    </row>
    <row r="2774" spans="2:6" x14ac:dyDescent="0.25">
      <c r="B2774" s="18" t="s">
        <v>8</v>
      </c>
      <c r="C2774" s="19">
        <f>40373+(3*365)</f>
        <v>41468</v>
      </c>
      <c r="D2774" s="18" t="s">
        <v>77</v>
      </c>
      <c r="E2774" s="18" t="s">
        <v>72</v>
      </c>
      <c r="F2774" s="21">
        <v>1224</v>
      </c>
    </row>
    <row r="2775" spans="2:6" x14ac:dyDescent="0.25">
      <c r="B2775" s="18" t="s">
        <v>9</v>
      </c>
      <c r="C2775" s="19">
        <f>40172+(3*365)</f>
        <v>41267</v>
      </c>
      <c r="D2775" s="18" t="s">
        <v>62</v>
      </c>
      <c r="E2775" s="18" t="s">
        <v>61</v>
      </c>
      <c r="F2775" s="21">
        <v>444</v>
      </c>
    </row>
    <row r="2776" spans="2:6" x14ac:dyDescent="0.25">
      <c r="B2776" s="18" t="s">
        <v>31</v>
      </c>
      <c r="C2776" s="19">
        <f>41115+(3*365)</f>
        <v>42210</v>
      </c>
      <c r="D2776" s="18" t="s">
        <v>76</v>
      </c>
      <c r="E2776" s="18" t="s">
        <v>59</v>
      </c>
      <c r="F2776" s="21">
        <v>105</v>
      </c>
    </row>
    <row r="2777" spans="2:6" x14ac:dyDescent="0.25">
      <c r="B2777" s="18" t="s">
        <v>25</v>
      </c>
      <c r="C2777" s="19">
        <f>40598+(3*365)</f>
        <v>41693</v>
      </c>
      <c r="D2777" s="18" t="s">
        <v>79</v>
      </c>
      <c r="E2777" s="18" t="s">
        <v>72</v>
      </c>
      <c r="F2777" s="21">
        <v>412</v>
      </c>
    </row>
    <row r="2778" spans="2:6" x14ac:dyDescent="0.25">
      <c r="B2778" s="18" t="s">
        <v>11</v>
      </c>
      <c r="C2778" s="19">
        <f>40241+(3*365)</f>
        <v>41336</v>
      </c>
      <c r="D2778" s="18" t="s">
        <v>74</v>
      </c>
      <c r="E2778" s="18" t="s">
        <v>64</v>
      </c>
      <c r="F2778" s="21">
        <v>2169</v>
      </c>
    </row>
    <row r="2779" spans="2:6" x14ac:dyDescent="0.25">
      <c r="B2779" s="18" t="s">
        <v>21</v>
      </c>
      <c r="C2779" s="19">
        <f>41057+(3*365)</f>
        <v>42152</v>
      </c>
      <c r="D2779" s="18" t="s">
        <v>73</v>
      </c>
      <c r="E2779" s="18" t="s">
        <v>72</v>
      </c>
      <c r="F2779" s="21">
        <v>936</v>
      </c>
    </row>
    <row r="2780" spans="2:6" x14ac:dyDescent="0.25">
      <c r="B2780" s="18" t="s">
        <v>31</v>
      </c>
      <c r="C2780" s="19">
        <f>41028+(3*365)</f>
        <v>42123</v>
      </c>
      <c r="D2780" s="18" t="s">
        <v>76</v>
      </c>
      <c r="E2780" s="18" t="s">
        <v>72</v>
      </c>
      <c r="F2780" s="21">
        <v>675</v>
      </c>
    </row>
    <row r="2781" spans="2:6" x14ac:dyDescent="0.25">
      <c r="B2781" s="18" t="s">
        <v>18</v>
      </c>
      <c r="C2781" s="19">
        <f>40469+(3*365)</f>
        <v>41564</v>
      </c>
      <c r="D2781" s="18" t="s">
        <v>71</v>
      </c>
      <c r="E2781" s="18" t="s">
        <v>63</v>
      </c>
      <c r="F2781" s="21">
        <v>864</v>
      </c>
    </row>
    <row r="2782" spans="2:6" x14ac:dyDescent="0.25">
      <c r="B2782" s="18" t="s">
        <v>10</v>
      </c>
      <c r="C2782" s="19">
        <f>40985+(3*365)</f>
        <v>42080</v>
      </c>
      <c r="D2782" s="18" t="s">
        <v>65</v>
      </c>
      <c r="E2782" s="18" t="s">
        <v>59</v>
      </c>
      <c r="F2782" s="21">
        <v>162</v>
      </c>
    </row>
    <row r="2783" spans="2:6" x14ac:dyDescent="0.25">
      <c r="B2783" s="18" t="s">
        <v>9</v>
      </c>
      <c r="C2783" s="19">
        <f>41164+(3*365)</f>
        <v>42259</v>
      </c>
      <c r="D2783" s="18" t="s">
        <v>80</v>
      </c>
      <c r="E2783" s="18" t="s">
        <v>66</v>
      </c>
      <c r="F2783" s="21">
        <v>60</v>
      </c>
    </row>
    <row r="2784" spans="2:6" x14ac:dyDescent="0.25">
      <c r="B2784" s="18" t="s">
        <v>18</v>
      </c>
      <c r="C2784" s="19">
        <f>41018+(3*365)</f>
        <v>42113</v>
      </c>
      <c r="D2784" s="18" t="s">
        <v>71</v>
      </c>
      <c r="E2784" s="18" t="s">
        <v>63</v>
      </c>
      <c r="F2784" s="21">
        <v>480</v>
      </c>
    </row>
    <row r="2785" spans="2:6" x14ac:dyDescent="0.25">
      <c r="B2785" s="18" t="s">
        <v>25</v>
      </c>
      <c r="C2785" s="19">
        <f>41230+(3*365)</f>
        <v>42325</v>
      </c>
      <c r="D2785" s="18" t="s">
        <v>78</v>
      </c>
      <c r="E2785" s="18" t="s">
        <v>61</v>
      </c>
      <c r="F2785" s="21">
        <v>1044</v>
      </c>
    </row>
    <row r="2786" spans="2:6" x14ac:dyDescent="0.25">
      <c r="B2786" s="18" t="s">
        <v>9</v>
      </c>
      <c r="C2786" s="19">
        <f>40318+(3*365)</f>
        <v>41413</v>
      </c>
      <c r="D2786" s="18" t="s">
        <v>80</v>
      </c>
      <c r="E2786" s="18" t="s">
        <v>69</v>
      </c>
      <c r="F2786" s="21">
        <v>1424</v>
      </c>
    </row>
    <row r="2787" spans="2:6" x14ac:dyDescent="0.25">
      <c r="B2787" s="18" t="s">
        <v>9</v>
      </c>
      <c r="C2787" s="19">
        <f>40721+(3*365)</f>
        <v>41816</v>
      </c>
      <c r="D2787" s="18" t="s">
        <v>80</v>
      </c>
      <c r="E2787" s="18" t="s">
        <v>59</v>
      </c>
      <c r="F2787" s="21">
        <v>252</v>
      </c>
    </row>
    <row r="2788" spans="2:6" x14ac:dyDescent="0.25">
      <c r="B2788" s="18" t="s">
        <v>25</v>
      </c>
      <c r="C2788" s="19">
        <f>40862+(3*365)</f>
        <v>41957</v>
      </c>
      <c r="D2788" s="18" t="s">
        <v>78</v>
      </c>
      <c r="E2788" s="18" t="s">
        <v>69</v>
      </c>
      <c r="F2788" s="21">
        <v>1800</v>
      </c>
    </row>
    <row r="2789" spans="2:6" x14ac:dyDescent="0.25">
      <c r="B2789" s="18" t="s">
        <v>11</v>
      </c>
      <c r="C2789" s="19">
        <f>40859+(3*365)</f>
        <v>41954</v>
      </c>
      <c r="D2789" s="18" t="s">
        <v>74</v>
      </c>
      <c r="E2789" s="18" t="s">
        <v>64</v>
      </c>
      <c r="F2789" s="21">
        <v>12816</v>
      </c>
    </row>
    <row r="2790" spans="2:6" x14ac:dyDescent="0.25">
      <c r="B2790" s="18" t="s">
        <v>8</v>
      </c>
      <c r="C2790" s="19">
        <f>40318+(3*365)</f>
        <v>41413</v>
      </c>
      <c r="D2790" s="18" t="s">
        <v>81</v>
      </c>
      <c r="E2790" s="18" t="s">
        <v>61</v>
      </c>
      <c r="F2790" s="21">
        <v>176</v>
      </c>
    </row>
    <row r="2791" spans="2:6" x14ac:dyDescent="0.25">
      <c r="B2791" s="18" t="s">
        <v>18</v>
      </c>
      <c r="C2791" s="19">
        <f>39836+(3*365)</f>
        <v>40931</v>
      </c>
      <c r="D2791" s="18" t="s">
        <v>68</v>
      </c>
      <c r="E2791" s="18" t="s">
        <v>64</v>
      </c>
      <c r="F2791" s="21">
        <v>3306</v>
      </c>
    </row>
    <row r="2792" spans="2:6" x14ac:dyDescent="0.25">
      <c r="B2792" s="18" t="s">
        <v>9</v>
      </c>
      <c r="C2792" s="19">
        <f>40818+(3*365)</f>
        <v>41913</v>
      </c>
      <c r="D2792" s="18" t="s">
        <v>80</v>
      </c>
      <c r="E2792" s="18" t="s">
        <v>75</v>
      </c>
      <c r="F2792" s="21">
        <v>651</v>
      </c>
    </row>
    <row r="2793" spans="2:6" x14ac:dyDescent="0.25">
      <c r="B2793" s="18" t="s">
        <v>25</v>
      </c>
      <c r="C2793" s="19">
        <f>40258+(3*365)</f>
        <v>41353</v>
      </c>
      <c r="D2793" s="18" t="s">
        <v>79</v>
      </c>
      <c r="E2793" s="18" t="s">
        <v>63</v>
      </c>
      <c r="F2793" s="21">
        <v>984</v>
      </c>
    </row>
    <row r="2794" spans="2:6" x14ac:dyDescent="0.25">
      <c r="B2794" s="18" t="s">
        <v>18</v>
      </c>
      <c r="C2794" s="19">
        <f>41024+(3*365)</f>
        <v>42119</v>
      </c>
      <c r="D2794" s="18" t="s">
        <v>68</v>
      </c>
      <c r="E2794" s="18" t="s">
        <v>59</v>
      </c>
      <c r="F2794" s="21">
        <v>78</v>
      </c>
    </row>
    <row r="2795" spans="2:6" x14ac:dyDescent="0.25">
      <c r="B2795" s="18" t="s">
        <v>25</v>
      </c>
      <c r="C2795" s="19">
        <f>40473+(3*365)</f>
        <v>41568</v>
      </c>
      <c r="D2795" s="18" t="s">
        <v>78</v>
      </c>
      <c r="E2795" s="18" t="s">
        <v>75</v>
      </c>
      <c r="F2795" s="21">
        <v>1053</v>
      </c>
    </row>
    <row r="2796" spans="2:6" x14ac:dyDescent="0.25">
      <c r="B2796" s="18" t="s">
        <v>25</v>
      </c>
      <c r="C2796" s="19">
        <f>40797+(3*365)</f>
        <v>41892</v>
      </c>
      <c r="D2796" s="18" t="s">
        <v>78</v>
      </c>
      <c r="E2796" s="18" t="s">
        <v>75</v>
      </c>
      <c r="F2796" s="21">
        <v>276</v>
      </c>
    </row>
    <row r="2797" spans="2:6" x14ac:dyDescent="0.25">
      <c r="B2797" s="18" t="s">
        <v>11</v>
      </c>
      <c r="C2797" s="19">
        <f>39980+(3*365)</f>
        <v>41075</v>
      </c>
      <c r="D2797" s="18" t="s">
        <v>60</v>
      </c>
      <c r="E2797" s="18" t="s">
        <v>69</v>
      </c>
      <c r="F2797" s="21">
        <v>3582</v>
      </c>
    </row>
    <row r="2798" spans="2:6" x14ac:dyDescent="0.25">
      <c r="B2798" s="18" t="s">
        <v>25</v>
      </c>
      <c r="C2798" s="19">
        <f>40409+(3*365)</f>
        <v>41504</v>
      </c>
      <c r="D2798" s="18" t="s">
        <v>79</v>
      </c>
      <c r="E2798" s="18" t="s">
        <v>75</v>
      </c>
      <c r="F2798" s="21">
        <v>783</v>
      </c>
    </row>
    <row r="2799" spans="2:6" x14ac:dyDescent="0.25">
      <c r="B2799" s="18" t="s">
        <v>21</v>
      </c>
      <c r="C2799" s="19">
        <f>41198+(3*365)</f>
        <v>42293</v>
      </c>
      <c r="D2799" s="18" t="s">
        <v>58</v>
      </c>
      <c r="E2799" s="18" t="s">
        <v>75</v>
      </c>
      <c r="F2799" s="21">
        <v>736</v>
      </c>
    </row>
    <row r="2800" spans="2:6" x14ac:dyDescent="0.25">
      <c r="B2800" s="18" t="s">
        <v>8</v>
      </c>
      <c r="C2800" s="19">
        <f>41074+(3*365)</f>
        <v>42169</v>
      </c>
      <c r="D2800" s="18" t="s">
        <v>81</v>
      </c>
      <c r="E2800" s="18" t="s">
        <v>64</v>
      </c>
      <c r="F2800" s="21">
        <v>6336</v>
      </c>
    </row>
    <row r="2801" spans="2:6" x14ac:dyDescent="0.25">
      <c r="B2801" s="18" t="s">
        <v>18</v>
      </c>
      <c r="C2801" s="19">
        <f>40578+(3*365)</f>
        <v>41673</v>
      </c>
      <c r="D2801" s="18" t="s">
        <v>71</v>
      </c>
      <c r="E2801" s="18" t="s">
        <v>64</v>
      </c>
      <c r="F2801" s="21">
        <v>14928</v>
      </c>
    </row>
    <row r="2802" spans="2:6" x14ac:dyDescent="0.25">
      <c r="B2802" s="18" t="s">
        <v>10</v>
      </c>
      <c r="C2802" s="19">
        <f>40795+(3*365)</f>
        <v>41890</v>
      </c>
      <c r="D2802" s="18" t="s">
        <v>65</v>
      </c>
      <c r="E2802" s="18" t="s">
        <v>61</v>
      </c>
      <c r="F2802" s="21">
        <v>948</v>
      </c>
    </row>
    <row r="2803" spans="2:6" x14ac:dyDescent="0.25">
      <c r="B2803" s="18" t="s">
        <v>11</v>
      </c>
      <c r="C2803" s="19">
        <f>40887+(3*365)</f>
        <v>41982</v>
      </c>
      <c r="D2803" s="18" t="s">
        <v>60</v>
      </c>
      <c r="E2803" s="18" t="s">
        <v>72</v>
      </c>
      <c r="F2803" s="21">
        <v>4389</v>
      </c>
    </row>
    <row r="2804" spans="2:6" x14ac:dyDescent="0.25">
      <c r="B2804" s="18" t="s">
        <v>11</v>
      </c>
      <c r="C2804" s="19">
        <f>41007+(3*365)</f>
        <v>42102</v>
      </c>
      <c r="D2804" s="18" t="s">
        <v>74</v>
      </c>
      <c r="E2804" s="18" t="s">
        <v>59</v>
      </c>
      <c r="F2804" s="21">
        <v>168</v>
      </c>
    </row>
    <row r="2805" spans="2:6" x14ac:dyDescent="0.25">
      <c r="B2805" s="18" t="s">
        <v>10</v>
      </c>
      <c r="C2805" s="19">
        <f>40603+(3*365)</f>
        <v>41698</v>
      </c>
      <c r="D2805" s="18" t="s">
        <v>65</v>
      </c>
      <c r="E2805" s="18" t="s">
        <v>69</v>
      </c>
      <c r="F2805" s="21">
        <v>330</v>
      </c>
    </row>
    <row r="2806" spans="2:6" x14ac:dyDescent="0.25">
      <c r="B2806" s="18" t="s">
        <v>11</v>
      </c>
      <c r="C2806" s="19">
        <f>40245+(3*365)</f>
        <v>41340</v>
      </c>
      <c r="D2806" s="18" t="s">
        <v>60</v>
      </c>
      <c r="E2806" s="18" t="s">
        <v>61</v>
      </c>
      <c r="F2806" s="21">
        <v>1344</v>
      </c>
    </row>
    <row r="2807" spans="2:6" x14ac:dyDescent="0.25">
      <c r="B2807" s="18" t="s">
        <v>25</v>
      </c>
      <c r="C2807" s="19">
        <f>40368+(3*365)</f>
        <v>41463</v>
      </c>
      <c r="D2807" s="18" t="s">
        <v>78</v>
      </c>
      <c r="E2807" s="18" t="s">
        <v>75</v>
      </c>
      <c r="F2807" s="21">
        <v>162</v>
      </c>
    </row>
    <row r="2808" spans="2:6" x14ac:dyDescent="0.25">
      <c r="B2808" s="18" t="s">
        <v>9</v>
      </c>
      <c r="C2808" s="19">
        <f>40696+(3*365)</f>
        <v>41791</v>
      </c>
      <c r="D2808" s="18" t="s">
        <v>80</v>
      </c>
      <c r="E2808" s="18" t="s">
        <v>72</v>
      </c>
      <c r="F2808" s="21">
        <v>828</v>
      </c>
    </row>
    <row r="2809" spans="2:6" x14ac:dyDescent="0.25">
      <c r="B2809" s="18" t="s">
        <v>21</v>
      </c>
      <c r="C2809" s="19">
        <f>40138+(3*365)</f>
        <v>41233</v>
      </c>
      <c r="D2809" s="18" t="s">
        <v>73</v>
      </c>
      <c r="E2809" s="18" t="s">
        <v>75</v>
      </c>
      <c r="F2809" s="21">
        <v>23</v>
      </c>
    </row>
    <row r="2810" spans="2:6" x14ac:dyDescent="0.25">
      <c r="B2810" s="18" t="s">
        <v>10</v>
      </c>
      <c r="C2810" s="19">
        <f>40252+(3*365)</f>
        <v>41347</v>
      </c>
      <c r="D2810" s="18" t="s">
        <v>65</v>
      </c>
      <c r="E2810" s="18" t="s">
        <v>69</v>
      </c>
      <c r="F2810" s="21">
        <v>1086</v>
      </c>
    </row>
    <row r="2811" spans="2:6" x14ac:dyDescent="0.25">
      <c r="B2811" s="18" t="s">
        <v>21</v>
      </c>
      <c r="C2811" s="19">
        <f>40141+(3*365)</f>
        <v>41236</v>
      </c>
      <c r="D2811" s="18" t="s">
        <v>58</v>
      </c>
      <c r="E2811" s="18" t="s">
        <v>61</v>
      </c>
      <c r="F2811" s="21">
        <v>118</v>
      </c>
    </row>
    <row r="2812" spans="2:6" x14ac:dyDescent="0.25">
      <c r="B2812" s="18" t="s">
        <v>31</v>
      </c>
      <c r="C2812" s="19">
        <f>40923+(3*365)</f>
        <v>42018</v>
      </c>
      <c r="D2812" s="18" t="s">
        <v>70</v>
      </c>
      <c r="E2812" s="18" t="s">
        <v>72</v>
      </c>
      <c r="F2812" s="21">
        <v>678</v>
      </c>
    </row>
    <row r="2813" spans="2:6" x14ac:dyDescent="0.25">
      <c r="B2813" s="18" t="s">
        <v>31</v>
      </c>
      <c r="C2813" s="19">
        <f>40134+(3*365)</f>
        <v>41229</v>
      </c>
      <c r="D2813" s="18" t="s">
        <v>70</v>
      </c>
      <c r="E2813" s="18" t="s">
        <v>59</v>
      </c>
      <c r="F2813" s="21">
        <v>816</v>
      </c>
    </row>
    <row r="2814" spans="2:6" x14ac:dyDescent="0.25">
      <c r="B2814" s="18" t="s">
        <v>21</v>
      </c>
      <c r="C2814" s="19">
        <f>40699+(3*365)</f>
        <v>41794</v>
      </c>
      <c r="D2814" s="18" t="s">
        <v>58</v>
      </c>
      <c r="E2814" s="18" t="s">
        <v>69</v>
      </c>
      <c r="F2814" s="21">
        <v>2100</v>
      </c>
    </row>
    <row r="2815" spans="2:6" x14ac:dyDescent="0.25">
      <c r="B2815" s="18" t="s">
        <v>21</v>
      </c>
      <c r="C2815" s="19">
        <f>41195+(3*365)</f>
        <v>42290</v>
      </c>
      <c r="D2815" s="18" t="s">
        <v>58</v>
      </c>
      <c r="E2815" s="18" t="s">
        <v>63</v>
      </c>
      <c r="F2815" s="21">
        <v>1632</v>
      </c>
    </row>
    <row r="2816" spans="2:6" x14ac:dyDescent="0.25">
      <c r="B2816" s="18" t="s">
        <v>9</v>
      </c>
      <c r="C2816" s="19">
        <f>40339+(3*365)</f>
        <v>41434</v>
      </c>
      <c r="D2816" s="18" t="s">
        <v>62</v>
      </c>
      <c r="E2816" s="18" t="s">
        <v>69</v>
      </c>
      <c r="F2816" s="21">
        <v>888</v>
      </c>
    </row>
    <row r="2817" spans="2:6" x14ac:dyDescent="0.25">
      <c r="B2817" s="18" t="s">
        <v>10</v>
      </c>
      <c r="C2817" s="19">
        <f>40409+(3*365)</f>
        <v>41504</v>
      </c>
      <c r="D2817" s="18" t="s">
        <v>65</v>
      </c>
      <c r="E2817" s="18" t="s">
        <v>59</v>
      </c>
      <c r="F2817" s="21">
        <v>234</v>
      </c>
    </row>
    <row r="2818" spans="2:6" x14ac:dyDescent="0.25">
      <c r="B2818" s="18" t="s">
        <v>21</v>
      </c>
      <c r="C2818" s="19">
        <f>40500+(3*365)</f>
        <v>41595</v>
      </c>
      <c r="D2818" s="18" t="s">
        <v>73</v>
      </c>
      <c r="E2818" s="18" t="s">
        <v>61</v>
      </c>
      <c r="F2818" s="21">
        <v>300</v>
      </c>
    </row>
    <row r="2819" spans="2:6" x14ac:dyDescent="0.25">
      <c r="B2819" s="18" t="s">
        <v>21</v>
      </c>
      <c r="C2819" s="19">
        <f>41251+(3*365)</f>
        <v>42346</v>
      </c>
      <c r="D2819" s="18" t="s">
        <v>58</v>
      </c>
      <c r="E2819" s="18" t="s">
        <v>66</v>
      </c>
      <c r="F2819" s="21">
        <v>1280</v>
      </c>
    </row>
    <row r="2820" spans="2:6" x14ac:dyDescent="0.25">
      <c r="B2820" s="18" t="s">
        <v>11</v>
      </c>
      <c r="C2820" s="19">
        <f>40941+(3*365)</f>
        <v>42036</v>
      </c>
      <c r="D2820" s="18" t="s">
        <v>60</v>
      </c>
      <c r="E2820" s="18" t="s">
        <v>61</v>
      </c>
      <c r="F2820" s="21">
        <v>544</v>
      </c>
    </row>
    <row r="2821" spans="2:6" x14ac:dyDescent="0.25">
      <c r="B2821" s="18" t="s">
        <v>8</v>
      </c>
      <c r="C2821" s="19">
        <f>39904+(3*365)</f>
        <v>40999</v>
      </c>
      <c r="D2821" s="18" t="s">
        <v>81</v>
      </c>
      <c r="E2821" s="18" t="s">
        <v>75</v>
      </c>
      <c r="F2821" s="21">
        <v>756</v>
      </c>
    </row>
    <row r="2822" spans="2:6" x14ac:dyDescent="0.25">
      <c r="B2822" s="18" t="s">
        <v>11</v>
      </c>
      <c r="C2822" s="19">
        <f>39846+(3*365)</f>
        <v>40941</v>
      </c>
      <c r="D2822" s="18" t="s">
        <v>60</v>
      </c>
      <c r="E2822" s="18" t="s">
        <v>66</v>
      </c>
      <c r="F2822" s="21">
        <v>540</v>
      </c>
    </row>
    <row r="2823" spans="2:6" x14ac:dyDescent="0.25">
      <c r="B2823" s="18" t="s">
        <v>18</v>
      </c>
      <c r="C2823" s="19">
        <f>40129+(3*365)</f>
        <v>41224</v>
      </c>
      <c r="D2823" s="18" t="s">
        <v>68</v>
      </c>
      <c r="E2823" s="18" t="s">
        <v>66</v>
      </c>
      <c r="F2823" s="21">
        <v>270</v>
      </c>
    </row>
    <row r="2824" spans="2:6" x14ac:dyDescent="0.25">
      <c r="B2824" s="18" t="s">
        <v>21</v>
      </c>
      <c r="C2824" s="19">
        <f>39900+(3*365)</f>
        <v>40995</v>
      </c>
      <c r="D2824" s="18" t="s">
        <v>58</v>
      </c>
      <c r="E2824" s="18" t="s">
        <v>66</v>
      </c>
      <c r="F2824" s="21">
        <v>165</v>
      </c>
    </row>
    <row r="2825" spans="2:6" x14ac:dyDescent="0.25">
      <c r="B2825" s="18" t="s">
        <v>31</v>
      </c>
      <c r="C2825" s="19">
        <f>40497+(3*365)</f>
        <v>41592</v>
      </c>
      <c r="D2825" s="18" t="s">
        <v>70</v>
      </c>
      <c r="E2825" s="18" t="s">
        <v>61</v>
      </c>
      <c r="F2825" s="21">
        <v>258</v>
      </c>
    </row>
    <row r="2826" spans="2:6" x14ac:dyDescent="0.25">
      <c r="B2826" s="18" t="s">
        <v>11</v>
      </c>
      <c r="C2826" s="19">
        <f>40304+(3*365)</f>
        <v>41399</v>
      </c>
      <c r="D2826" s="18" t="s">
        <v>74</v>
      </c>
      <c r="E2826" s="18" t="s">
        <v>61</v>
      </c>
      <c r="F2826" s="21">
        <v>558</v>
      </c>
    </row>
    <row r="2827" spans="2:6" x14ac:dyDescent="0.25">
      <c r="B2827" s="18" t="s">
        <v>21</v>
      </c>
      <c r="C2827" s="19">
        <f>40846+(3*365)</f>
        <v>41941</v>
      </c>
      <c r="D2827" s="18" t="s">
        <v>73</v>
      </c>
      <c r="E2827" s="18" t="s">
        <v>64</v>
      </c>
      <c r="F2827" s="21">
        <v>8424</v>
      </c>
    </row>
    <row r="2828" spans="2:6" x14ac:dyDescent="0.25">
      <c r="B2828" s="18" t="s">
        <v>11</v>
      </c>
      <c r="C2828" s="19">
        <f>39820+(3*365)</f>
        <v>40915</v>
      </c>
      <c r="D2828" s="18" t="s">
        <v>74</v>
      </c>
      <c r="E2828" s="18" t="s">
        <v>69</v>
      </c>
      <c r="F2828" s="21">
        <v>204</v>
      </c>
    </row>
    <row r="2829" spans="2:6" x14ac:dyDescent="0.25">
      <c r="B2829" s="18" t="s">
        <v>21</v>
      </c>
      <c r="C2829" s="19">
        <f>41204+(3*365)</f>
        <v>42299</v>
      </c>
      <c r="D2829" s="18" t="s">
        <v>58</v>
      </c>
      <c r="E2829" s="18" t="s">
        <v>75</v>
      </c>
      <c r="F2829" s="21">
        <v>1260</v>
      </c>
    </row>
    <row r="2830" spans="2:6" x14ac:dyDescent="0.25">
      <c r="B2830" s="18" t="s">
        <v>8</v>
      </c>
      <c r="C2830" s="19">
        <f>40659+(3*365)</f>
        <v>41754</v>
      </c>
      <c r="D2830" s="18" t="s">
        <v>77</v>
      </c>
      <c r="E2830" s="18" t="s">
        <v>75</v>
      </c>
      <c r="F2830" s="21">
        <v>1064</v>
      </c>
    </row>
    <row r="2831" spans="2:6" x14ac:dyDescent="0.25">
      <c r="B2831" s="18" t="s">
        <v>31</v>
      </c>
      <c r="C2831" s="19">
        <f>40523+(3*365)</f>
        <v>41618</v>
      </c>
      <c r="D2831" s="18" t="s">
        <v>76</v>
      </c>
      <c r="E2831" s="18" t="s">
        <v>66</v>
      </c>
      <c r="F2831" s="21">
        <v>720</v>
      </c>
    </row>
    <row r="2832" spans="2:6" x14ac:dyDescent="0.25">
      <c r="B2832" s="18" t="s">
        <v>31</v>
      </c>
      <c r="C2832" s="19">
        <f>39953+(3*365)</f>
        <v>41048</v>
      </c>
      <c r="D2832" s="18" t="s">
        <v>70</v>
      </c>
      <c r="E2832" s="18" t="s">
        <v>75</v>
      </c>
      <c r="F2832" s="21">
        <v>162</v>
      </c>
    </row>
    <row r="2833" spans="2:6" x14ac:dyDescent="0.25">
      <c r="B2833" s="18" t="s">
        <v>9</v>
      </c>
      <c r="C2833" s="19">
        <f>39958+(3*365)</f>
        <v>41053</v>
      </c>
      <c r="D2833" s="18" t="s">
        <v>80</v>
      </c>
      <c r="E2833" s="18" t="s">
        <v>66</v>
      </c>
      <c r="F2833" s="21">
        <v>1064</v>
      </c>
    </row>
    <row r="2834" spans="2:6" x14ac:dyDescent="0.25">
      <c r="B2834" s="18" t="s">
        <v>8</v>
      </c>
      <c r="C2834" s="19">
        <f>40425+(3*365)</f>
        <v>41520</v>
      </c>
      <c r="D2834" s="18" t="s">
        <v>81</v>
      </c>
      <c r="E2834" s="18" t="s">
        <v>75</v>
      </c>
      <c r="F2834" s="21">
        <v>396</v>
      </c>
    </row>
    <row r="2835" spans="2:6" x14ac:dyDescent="0.25">
      <c r="B2835" s="18" t="s">
        <v>21</v>
      </c>
      <c r="C2835" s="19">
        <f>40121+(3*365)</f>
        <v>41216</v>
      </c>
      <c r="D2835" s="18" t="s">
        <v>73</v>
      </c>
      <c r="E2835" s="18" t="s">
        <v>75</v>
      </c>
      <c r="F2835" s="21">
        <v>96</v>
      </c>
    </row>
    <row r="2836" spans="2:6" x14ac:dyDescent="0.25">
      <c r="B2836" s="18" t="s">
        <v>9</v>
      </c>
      <c r="C2836" s="19">
        <f>40035+(3*365)</f>
        <v>41130</v>
      </c>
      <c r="D2836" s="18" t="s">
        <v>62</v>
      </c>
      <c r="E2836" s="18" t="s">
        <v>66</v>
      </c>
      <c r="F2836" s="21">
        <v>480</v>
      </c>
    </row>
    <row r="2837" spans="2:6" x14ac:dyDescent="0.25">
      <c r="B2837" s="18" t="s">
        <v>25</v>
      </c>
      <c r="C2837" s="19">
        <f>40106+(3*365)</f>
        <v>41201</v>
      </c>
      <c r="D2837" s="18" t="s">
        <v>78</v>
      </c>
      <c r="E2837" s="18" t="s">
        <v>75</v>
      </c>
      <c r="F2837" s="21">
        <v>210</v>
      </c>
    </row>
    <row r="2838" spans="2:6" x14ac:dyDescent="0.25">
      <c r="B2838" s="18" t="s">
        <v>18</v>
      </c>
      <c r="C2838" s="19">
        <f>40714+(3*365)</f>
        <v>41809</v>
      </c>
      <c r="D2838" s="18" t="s">
        <v>71</v>
      </c>
      <c r="E2838" s="18" t="s">
        <v>63</v>
      </c>
      <c r="F2838" s="21">
        <v>212</v>
      </c>
    </row>
    <row r="2839" spans="2:6" x14ac:dyDescent="0.25">
      <c r="B2839" s="18" t="s">
        <v>31</v>
      </c>
      <c r="C2839" s="19">
        <f>40555+(3*365)</f>
        <v>41650</v>
      </c>
      <c r="D2839" s="18" t="s">
        <v>76</v>
      </c>
      <c r="E2839" s="18" t="s">
        <v>69</v>
      </c>
      <c r="F2839" s="21">
        <v>1458</v>
      </c>
    </row>
    <row r="2840" spans="2:6" x14ac:dyDescent="0.25">
      <c r="B2840" s="18" t="s">
        <v>31</v>
      </c>
      <c r="C2840" s="19">
        <f>39994+(3*365)</f>
        <v>41089</v>
      </c>
      <c r="D2840" s="18" t="s">
        <v>76</v>
      </c>
      <c r="E2840" s="18" t="s">
        <v>69</v>
      </c>
      <c r="F2840" s="21">
        <v>2565</v>
      </c>
    </row>
    <row r="2841" spans="2:6" x14ac:dyDescent="0.25">
      <c r="B2841" s="18" t="s">
        <v>25</v>
      </c>
      <c r="C2841" s="19">
        <f>40975+(3*365)</f>
        <v>42070</v>
      </c>
      <c r="D2841" s="18" t="s">
        <v>79</v>
      </c>
      <c r="E2841" s="18" t="s">
        <v>59</v>
      </c>
      <c r="F2841" s="21">
        <v>336</v>
      </c>
    </row>
    <row r="2842" spans="2:6" x14ac:dyDescent="0.25">
      <c r="B2842" s="18" t="s">
        <v>25</v>
      </c>
      <c r="C2842" s="19">
        <f>40753+(3*365)</f>
        <v>41848</v>
      </c>
      <c r="D2842" s="18" t="s">
        <v>79</v>
      </c>
      <c r="E2842" s="18" t="s">
        <v>66</v>
      </c>
      <c r="F2842" s="21">
        <v>2144</v>
      </c>
    </row>
    <row r="2843" spans="2:6" x14ac:dyDescent="0.25">
      <c r="B2843" s="18" t="s">
        <v>11</v>
      </c>
      <c r="C2843" s="19">
        <f>39816+(3*365)</f>
        <v>40911</v>
      </c>
      <c r="D2843" s="18" t="s">
        <v>60</v>
      </c>
      <c r="E2843" s="18" t="s">
        <v>63</v>
      </c>
      <c r="F2843" s="21">
        <v>300</v>
      </c>
    </row>
    <row r="2844" spans="2:6" x14ac:dyDescent="0.25">
      <c r="B2844" s="18" t="s">
        <v>21</v>
      </c>
      <c r="C2844" s="19">
        <f>41189+(3*365)</f>
        <v>42284</v>
      </c>
      <c r="D2844" s="18" t="s">
        <v>73</v>
      </c>
      <c r="E2844" s="18" t="s">
        <v>72</v>
      </c>
      <c r="F2844" s="21">
        <v>2312</v>
      </c>
    </row>
    <row r="2845" spans="2:6" x14ac:dyDescent="0.25">
      <c r="B2845" s="18" t="s">
        <v>11</v>
      </c>
      <c r="C2845" s="19">
        <f>40874+(3*365)</f>
        <v>41969</v>
      </c>
      <c r="D2845" s="18" t="s">
        <v>74</v>
      </c>
      <c r="E2845" s="18" t="s">
        <v>75</v>
      </c>
      <c r="F2845" s="21">
        <v>594</v>
      </c>
    </row>
    <row r="2846" spans="2:6" x14ac:dyDescent="0.25">
      <c r="B2846" s="18" t="s">
        <v>9</v>
      </c>
      <c r="C2846" s="19">
        <f>41104+(3*365)</f>
        <v>42199</v>
      </c>
      <c r="D2846" s="18" t="s">
        <v>62</v>
      </c>
      <c r="E2846" s="18" t="s">
        <v>72</v>
      </c>
      <c r="F2846" s="21">
        <v>552</v>
      </c>
    </row>
    <row r="2847" spans="2:6" x14ac:dyDescent="0.25">
      <c r="B2847" s="18" t="s">
        <v>25</v>
      </c>
      <c r="C2847" s="19">
        <f>40093+(3*365)</f>
        <v>41188</v>
      </c>
      <c r="D2847" s="18" t="s">
        <v>79</v>
      </c>
      <c r="E2847" s="18" t="s">
        <v>61</v>
      </c>
      <c r="F2847" s="21">
        <v>564</v>
      </c>
    </row>
    <row r="2848" spans="2:6" x14ac:dyDescent="0.25">
      <c r="B2848" s="18" t="s">
        <v>21</v>
      </c>
      <c r="C2848" s="19">
        <f>41091+(3*365)</f>
        <v>42186</v>
      </c>
      <c r="D2848" s="18" t="s">
        <v>58</v>
      </c>
      <c r="E2848" s="18" t="s">
        <v>63</v>
      </c>
      <c r="F2848" s="21">
        <v>1920</v>
      </c>
    </row>
    <row r="2849" spans="2:6" x14ac:dyDescent="0.25">
      <c r="B2849" s="18" t="s">
        <v>10</v>
      </c>
      <c r="C2849" s="19">
        <f>40477+(3*365)</f>
        <v>41572</v>
      </c>
      <c r="D2849" s="18" t="s">
        <v>65</v>
      </c>
      <c r="E2849" s="18" t="s">
        <v>59</v>
      </c>
      <c r="F2849" s="21">
        <v>414</v>
      </c>
    </row>
    <row r="2850" spans="2:6" x14ac:dyDescent="0.25">
      <c r="B2850" s="18" t="s">
        <v>10</v>
      </c>
      <c r="C2850" s="19">
        <f>41166+(3*365)</f>
        <v>42261</v>
      </c>
      <c r="D2850" s="18" t="s">
        <v>65</v>
      </c>
      <c r="E2850" s="18" t="s">
        <v>61</v>
      </c>
      <c r="F2850" s="21">
        <v>165</v>
      </c>
    </row>
    <row r="2851" spans="2:6" x14ac:dyDescent="0.25">
      <c r="B2851" s="18" t="s">
        <v>10</v>
      </c>
      <c r="C2851" s="19">
        <f>39912+(3*365)</f>
        <v>41007</v>
      </c>
      <c r="D2851" s="18" t="s">
        <v>65</v>
      </c>
      <c r="E2851" s="18" t="s">
        <v>59</v>
      </c>
      <c r="F2851" s="21">
        <v>80</v>
      </c>
    </row>
    <row r="2852" spans="2:6" x14ac:dyDescent="0.25">
      <c r="B2852" s="18" t="s">
        <v>25</v>
      </c>
      <c r="C2852" s="19">
        <f>40552+(3*365)</f>
        <v>41647</v>
      </c>
      <c r="D2852" s="18" t="s">
        <v>78</v>
      </c>
      <c r="E2852" s="18" t="s">
        <v>66</v>
      </c>
      <c r="F2852" s="21">
        <v>372</v>
      </c>
    </row>
    <row r="2853" spans="2:6" x14ac:dyDescent="0.25">
      <c r="B2853" s="18" t="s">
        <v>25</v>
      </c>
      <c r="C2853" s="19">
        <f>40777+(3*365)</f>
        <v>41872</v>
      </c>
      <c r="D2853" s="18" t="s">
        <v>79</v>
      </c>
      <c r="E2853" s="18" t="s">
        <v>75</v>
      </c>
      <c r="F2853" s="21">
        <v>140</v>
      </c>
    </row>
    <row r="2854" spans="2:6" x14ac:dyDescent="0.25">
      <c r="B2854" s="18" t="s">
        <v>9</v>
      </c>
      <c r="C2854" s="19">
        <f>40604+(3*365)</f>
        <v>41699</v>
      </c>
      <c r="D2854" s="18" t="s">
        <v>62</v>
      </c>
      <c r="E2854" s="18" t="s">
        <v>63</v>
      </c>
      <c r="F2854" s="21">
        <v>612</v>
      </c>
    </row>
    <row r="2855" spans="2:6" x14ac:dyDescent="0.25">
      <c r="B2855" s="18" t="s">
        <v>21</v>
      </c>
      <c r="C2855" s="19">
        <f>40307+(3*365)</f>
        <v>41402</v>
      </c>
      <c r="D2855" s="18" t="s">
        <v>58</v>
      </c>
      <c r="E2855" s="18" t="s">
        <v>72</v>
      </c>
      <c r="F2855" s="21">
        <v>800</v>
      </c>
    </row>
    <row r="2856" spans="2:6" x14ac:dyDescent="0.25">
      <c r="B2856" s="18" t="s">
        <v>8</v>
      </c>
      <c r="C2856" s="19">
        <f>39981+(3*365)</f>
        <v>41076</v>
      </c>
      <c r="D2856" s="18" t="s">
        <v>77</v>
      </c>
      <c r="E2856" s="18" t="s">
        <v>61</v>
      </c>
      <c r="F2856" s="21">
        <v>1197</v>
      </c>
    </row>
    <row r="2857" spans="2:6" x14ac:dyDescent="0.25">
      <c r="B2857" s="18" t="s">
        <v>10</v>
      </c>
      <c r="C2857" s="19">
        <f>40955+(3*365)</f>
        <v>42050</v>
      </c>
      <c r="D2857" s="18" t="s">
        <v>65</v>
      </c>
      <c r="E2857" s="18" t="s">
        <v>61</v>
      </c>
      <c r="F2857" s="21">
        <v>630</v>
      </c>
    </row>
    <row r="2858" spans="2:6" x14ac:dyDescent="0.25">
      <c r="B2858" s="18" t="s">
        <v>21</v>
      </c>
      <c r="C2858" s="19">
        <f>40498+(3*365)</f>
        <v>41593</v>
      </c>
      <c r="D2858" s="18" t="s">
        <v>73</v>
      </c>
      <c r="E2858" s="18" t="s">
        <v>63</v>
      </c>
      <c r="F2858" s="21">
        <v>296</v>
      </c>
    </row>
    <row r="2859" spans="2:6" x14ac:dyDescent="0.25">
      <c r="B2859" s="18" t="s">
        <v>10</v>
      </c>
      <c r="C2859" s="19">
        <f>41002+(3*365)</f>
        <v>42097</v>
      </c>
      <c r="D2859" s="18" t="s">
        <v>65</v>
      </c>
      <c r="E2859" s="18" t="s">
        <v>75</v>
      </c>
      <c r="F2859" s="21">
        <v>510</v>
      </c>
    </row>
    <row r="2860" spans="2:6" x14ac:dyDescent="0.25">
      <c r="B2860" s="18" t="s">
        <v>11</v>
      </c>
      <c r="C2860" s="19">
        <f>39835+(3*365)</f>
        <v>40930</v>
      </c>
      <c r="D2860" s="18" t="s">
        <v>74</v>
      </c>
      <c r="E2860" s="18" t="s">
        <v>69</v>
      </c>
      <c r="F2860" s="21">
        <v>5643</v>
      </c>
    </row>
    <row r="2861" spans="2:6" x14ac:dyDescent="0.25">
      <c r="B2861" s="18" t="s">
        <v>11</v>
      </c>
      <c r="C2861" s="19">
        <f>40423+(3*365)</f>
        <v>41518</v>
      </c>
      <c r="D2861" s="18" t="s">
        <v>60</v>
      </c>
      <c r="E2861" s="18" t="s">
        <v>63</v>
      </c>
      <c r="F2861" s="21">
        <v>1485</v>
      </c>
    </row>
    <row r="2862" spans="2:6" x14ac:dyDescent="0.25">
      <c r="B2862" s="18" t="s">
        <v>9</v>
      </c>
      <c r="C2862" s="19">
        <f>40548+(3*365)</f>
        <v>41643</v>
      </c>
      <c r="D2862" s="18" t="s">
        <v>80</v>
      </c>
      <c r="E2862" s="18" t="s">
        <v>64</v>
      </c>
      <c r="F2862" s="21">
        <v>1764</v>
      </c>
    </row>
    <row r="2863" spans="2:6" x14ac:dyDescent="0.25">
      <c r="B2863" s="18" t="s">
        <v>25</v>
      </c>
      <c r="C2863" s="19">
        <f>40621+(3*365)</f>
        <v>41716</v>
      </c>
      <c r="D2863" s="18" t="s">
        <v>78</v>
      </c>
      <c r="E2863" s="18" t="s">
        <v>66</v>
      </c>
      <c r="F2863" s="21">
        <v>2368</v>
      </c>
    </row>
    <row r="2864" spans="2:6" x14ac:dyDescent="0.25">
      <c r="B2864" s="18" t="s">
        <v>9</v>
      </c>
      <c r="C2864" s="19">
        <f>39996+(3*365)</f>
        <v>41091</v>
      </c>
      <c r="D2864" s="18" t="s">
        <v>80</v>
      </c>
      <c r="E2864" s="18" t="s">
        <v>72</v>
      </c>
      <c r="F2864" s="21">
        <v>72</v>
      </c>
    </row>
    <row r="2865" spans="2:6" x14ac:dyDescent="0.25">
      <c r="B2865" s="18" t="s">
        <v>11</v>
      </c>
      <c r="C2865" s="19">
        <f>40026+(3*365)</f>
        <v>41121</v>
      </c>
      <c r="D2865" s="18" t="s">
        <v>60</v>
      </c>
      <c r="E2865" s="18" t="s">
        <v>63</v>
      </c>
      <c r="F2865" s="21">
        <v>1539</v>
      </c>
    </row>
    <row r="2866" spans="2:6" x14ac:dyDescent="0.25">
      <c r="B2866" s="18" t="s">
        <v>10</v>
      </c>
      <c r="C2866" s="19">
        <f>41271+(3*365)</f>
        <v>42366</v>
      </c>
      <c r="D2866" s="18" t="s">
        <v>65</v>
      </c>
      <c r="E2866" s="18" t="s">
        <v>75</v>
      </c>
      <c r="F2866" s="21">
        <v>432</v>
      </c>
    </row>
    <row r="2867" spans="2:6" x14ac:dyDescent="0.25">
      <c r="B2867" s="18" t="s">
        <v>31</v>
      </c>
      <c r="C2867" s="19">
        <f>40482+(3*365)</f>
        <v>41577</v>
      </c>
      <c r="D2867" s="18" t="s">
        <v>70</v>
      </c>
      <c r="E2867" s="18" t="s">
        <v>69</v>
      </c>
      <c r="F2867" s="21">
        <v>912</v>
      </c>
    </row>
    <row r="2868" spans="2:6" x14ac:dyDescent="0.25">
      <c r="B2868" s="18" t="s">
        <v>10</v>
      </c>
      <c r="C2868" s="19">
        <f>40573+(3*365)</f>
        <v>41668</v>
      </c>
      <c r="D2868" s="18" t="s">
        <v>65</v>
      </c>
      <c r="E2868" s="18" t="s">
        <v>69</v>
      </c>
      <c r="F2868" s="21">
        <v>1098</v>
      </c>
    </row>
    <row r="2869" spans="2:6" x14ac:dyDescent="0.25">
      <c r="B2869" s="18" t="s">
        <v>8</v>
      </c>
      <c r="C2869" s="19">
        <f>40980+(3*365)</f>
        <v>42075</v>
      </c>
      <c r="D2869" s="18" t="s">
        <v>81</v>
      </c>
      <c r="E2869" s="18" t="s">
        <v>64</v>
      </c>
      <c r="F2869" s="21">
        <v>7360</v>
      </c>
    </row>
    <row r="2870" spans="2:6" x14ac:dyDescent="0.25">
      <c r="B2870" s="18" t="s">
        <v>10</v>
      </c>
      <c r="C2870" s="19">
        <f>40499+(3*365)</f>
        <v>41594</v>
      </c>
      <c r="D2870" s="18" t="s">
        <v>67</v>
      </c>
      <c r="E2870" s="18" t="s">
        <v>66</v>
      </c>
      <c r="F2870" s="21">
        <v>1020</v>
      </c>
    </row>
    <row r="2871" spans="2:6" x14ac:dyDescent="0.25">
      <c r="B2871" s="18" t="s">
        <v>8</v>
      </c>
      <c r="C2871" s="19">
        <f>41051+(3*365)</f>
        <v>42146</v>
      </c>
      <c r="D2871" s="18" t="s">
        <v>81</v>
      </c>
      <c r="E2871" s="18" t="s">
        <v>72</v>
      </c>
      <c r="F2871" s="21">
        <v>4760</v>
      </c>
    </row>
    <row r="2872" spans="2:6" x14ac:dyDescent="0.25">
      <c r="B2872" s="18" t="s">
        <v>9</v>
      </c>
      <c r="C2872" s="19">
        <f>41237+(3*365)</f>
        <v>42332</v>
      </c>
      <c r="D2872" s="18" t="s">
        <v>62</v>
      </c>
      <c r="E2872" s="18" t="s">
        <v>59</v>
      </c>
      <c r="F2872" s="21">
        <v>248</v>
      </c>
    </row>
    <row r="2873" spans="2:6" x14ac:dyDescent="0.25">
      <c r="B2873" s="18" t="s">
        <v>11</v>
      </c>
      <c r="C2873" s="19">
        <f>41242+(3*365)</f>
        <v>42337</v>
      </c>
      <c r="D2873" s="18" t="s">
        <v>60</v>
      </c>
      <c r="E2873" s="18" t="s">
        <v>72</v>
      </c>
      <c r="F2873" s="21">
        <v>168</v>
      </c>
    </row>
    <row r="2874" spans="2:6" x14ac:dyDescent="0.25">
      <c r="B2874" s="18" t="s">
        <v>9</v>
      </c>
      <c r="C2874" s="19">
        <f>41013+(3*365)</f>
        <v>42108</v>
      </c>
      <c r="D2874" s="18" t="s">
        <v>80</v>
      </c>
      <c r="E2874" s="18" t="s">
        <v>69</v>
      </c>
      <c r="F2874" s="21">
        <v>252</v>
      </c>
    </row>
    <row r="2875" spans="2:6" x14ac:dyDescent="0.25">
      <c r="B2875" s="18" t="s">
        <v>10</v>
      </c>
      <c r="C2875" s="19">
        <f>41267+(3*365)</f>
        <v>42362</v>
      </c>
      <c r="D2875" s="18" t="s">
        <v>67</v>
      </c>
      <c r="E2875" s="18" t="s">
        <v>66</v>
      </c>
      <c r="F2875" s="21">
        <v>480</v>
      </c>
    </row>
    <row r="2876" spans="2:6" x14ac:dyDescent="0.25">
      <c r="B2876" s="18" t="s">
        <v>10</v>
      </c>
      <c r="C2876" s="19">
        <f>39892+(3*365)</f>
        <v>40987</v>
      </c>
      <c r="D2876" s="18" t="s">
        <v>67</v>
      </c>
      <c r="E2876" s="18" t="s">
        <v>64</v>
      </c>
      <c r="F2876" s="21">
        <v>14688</v>
      </c>
    </row>
    <row r="2877" spans="2:6" x14ac:dyDescent="0.25">
      <c r="B2877" s="18" t="s">
        <v>21</v>
      </c>
      <c r="C2877" s="19">
        <f>40809+(3*365)</f>
        <v>41904</v>
      </c>
      <c r="D2877" s="18" t="s">
        <v>73</v>
      </c>
      <c r="E2877" s="18" t="s">
        <v>75</v>
      </c>
      <c r="F2877" s="21">
        <v>270</v>
      </c>
    </row>
    <row r="2878" spans="2:6" x14ac:dyDescent="0.25">
      <c r="B2878" s="18" t="s">
        <v>21</v>
      </c>
      <c r="C2878" s="19">
        <f>40025+(3*365)</f>
        <v>41120</v>
      </c>
      <c r="D2878" s="18" t="s">
        <v>58</v>
      </c>
      <c r="E2878" s="18" t="s">
        <v>72</v>
      </c>
      <c r="F2878" s="21">
        <v>308</v>
      </c>
    </row>
    <row r="2879" spans="2:6" x14ac:dyDescent="0.25">
      <c r="B2879" s="18" t="s">
        <v>25</v>
      </c>
      <c r="C2879" s="19">
        <f>40543+(3*365)</f>
        <v>41638</v>
      </c>
      <c r="D2879" s="18" t="s">
        <v>78</v>
      </c>
      <c r="E2879" s="18" t="s">
        <v>64</v>
      </c>
      <c r="F2879" s="21">
        <v>3912</v>
      </c>
    </row>
    <row r="2880" spans="2:6" x14ac:dyDescent="0.25">
      <c r="B2880" s="18" t="s">
        <v>9</v>
      </c>
      <c r="C2880" s="19">
        <f>40024+(3*365)</f>
        <v>41119</v>
      </c>
      <c r="D2880" s="18" t="s">
        <v>80</v>
      </c>
      <c r="E2880" s="18" t="s">
        <v>64</v>
      </c>
      <c r="F2880" s="21">
        <v>3024</v>
      </c>
    </row>
    <row r="2881" spans="2:6" x14ac:dyDescent="0.25">
      <c r="B2881" s="18" t="s">
        <v>18</v>
      </c>
      <c r="C2881" s="19">
        <f>40023+(3*365)</f>
        <v>41118</v>
      </c>
      <c r="D2881" s="18" t="s">
        <v>71</v>
      </c>
      <c r="E2881" s="18" t="s">
        <v>63</v>
      </c>
      <c r="F2881" s="21">
        <v>348</v>
      </c>
    </row>
    <row r="2882" spans="2:6" x14ac:dyDescent="0.25">
      <c r="B2882" s="18" t="s">
        <v>31</v>
      </c>
      <c r="C2882" s="19">
        <f>39931+(3*365)</f>
        <v>41026</v>
      </c>
      <c r="D2882" s="18" t="s">
        <v>76</v>
      </c>
      <c r="E2882" s="18" t="s">
        <v>59</v>
      </c>
      <c r="F2882" s="21">
        <v>810</v>
      </c>
    </row>
    <row r="2883" spans="2:6" x14ac:dyDescent="0.25">
      <c r="B2883" s="18" t="s">
        <v>18</v>
      </c>
      <c r="C2883" s="19">
        <f>41122+(3*365)</f>
        <v>42217</v>
      </c>
      <c r="D2883" s="18" t="s">
        <v>68</v>
      </c>
      <c r="E2883" s="18" t="s">
        <v>61</v>
      </c>
      <c r="F2883" s="21">
        <v>870</v>
      </c>
    </row>
    <row r="2884" spans="2:6" x14ac:dyDescent="0.25">
      <c r="B2884" s="18" t="s">
        <v>31</v>
      </c>
      <c r="C2884" s="19">
        <f>39999+(3*365)</f>
        <v>41094</v>
      </c>
      <c r="D2884" s="18" t="s">
        <v>76</v>
      </c>
      <c r="E2884" s="18" t="s">
        <v>72</v>
      </c>
      <c r="F2884" s="21">
        <v>3675</v>
      </c>
    </row>
    <row r="2885" spans="2:6" x14ac:dyDescent="0.25">
      <c r="B2885" s="18" t="s">
        <v>8</v>
      </c>
      <c r="C2885" s="19">
        <f>40991+(3*365)</f>
        <v>42086</v>
      </c>
      <c r="D2885" s="18" t="s">
        <v>77</v>
      </c>
      <c r="E2885" s="18" t="s">
        <v>66</v>
      </c>
      <c r="F2885" s="21">
        <v>224</v>
      </c>
    </row>
    <row r="2886" spans="2:6" x14ac:dyDescent="0.25">
      <c r="B2886" s="18" t="s">
        <v>9</v>
      </c>
      <c r="C2886" s="19">
        <f>40683+(3*365)</f>
        <v>41778</v>
      </c>
      <c r="D2886" s="18" t="s">
        <v>62</v>
      </c>
      <c r="E2886" s="18" t="s">
        <v>61</v>
      </c>
      <c r="F2886" s="21">
        <v>1431</v>
      </c>
    </row>
    <row r="2887" spans="2:6" x14ac:dyDescent="0.25">
      <c r="B2887" s="18" t="s">
        <v>25</v>
      </c>
      <c r="C2887" s="19">
        <f>40130+(3*365)</f>
        <v>41225</v>
      </c>
      <c r="D2887" s="18" t="s">
        <v>79</v>
      </c>
      <c r="E2887" s="18" t="s">
        <v>69</v>
      </c>
      <c r="F2887" s="21">
        <v>1456</v>
      </c>
    </row>
    <row r="2888" spans="2:6" x14ac:dyDescent="0.25">
      <c r="B2888" s="18" t="s">
        <v>25</v>
      </c>
      <c r="C2888" s="19">
        <f>40798+(3*365)</f>
        <v>41893</v>
      </c>
      <c r="D2888" s="18" t="s">
        <v>79</v>
      </c>
      <c r="E2888" s="18" t="s">
        <v>69</v>
      </c>
      <c r="F2888" s="21">
        <v>3392</v>
      </c>
    </row>
    <row r="2889" spans="2:6" x14ac:dyDescent="0.25">
      <c r="B2889" s="18" t="s">
        <v>25</v>
      </c>
      <c r="C2889" s="19">
        <f>40555+(3*365)</f>
        <v>41650</v>
      </c>
      <c r="D2889" s="18" t="s">
        <v>79</v>
      </c>
      <c r="E2889" s="18" t="s">
        <v>59</v>
      </c>
      <c r="F2889" s="21">
        <v>296</v>
      </c>
    </row>
    <row r="2890" spans="2:6" x14ac:dyDescent="0.25">
      <c r="B2890" s="18" t="s">
        <v>9</v>
      </c>
      <c r="C2890" s="19">
        <f>40620+(3*365)</f>
        <v>41715</v>
      </c>
      <c r="D2890" s="18" t="s">
        <v>80</v>
      </c>
      <c r="E2890" s="18" t="s">
        <v>61</v>
      </c>
      <c r="F2890" s="21">
        <v>735</v>
      </c>
    </row>
    <row r="2891" spans="2:6" x14ac:dyDescent="0.25">
      <c r="B2891" s="18" t="s">
        <v>21</v>
      </c>
      <c r="C2891" s="19">
        <f>40683+(3*365)</f>
        <v>41778</v>
      </c>
      <c r="D2891" s="18" t="s">
        <v>58</v>
      </c>
      <c r="E2891" s="18" t="s">
        <v>69</v>
      </c>
      <c r="F2891" s="21">
        <v>393</v>
      </c>
    </row>
    <row r="2892" spans="2:6" x14ac:dyDescent="0.25">
      <c r="B2892" s="18" t="s">
        <v>21</v>
      </c>
      <c r="C2892" s="19">
        <f>41111+(3*365)</f>
        <v>42206</v>
      </c>
      <c r="D2892" s="18" t="s">
        <v>58</v>
      </c>
      <c r="E2892" s="18" t="s">
        <v>75</v>
      </c>
      <c r="F2892" s="21">
        <v>352</v>
      </c>
    </row>
    <row r="2893" spans="2:6" x14ac:dyDescent="0.25">
      <c r="B2893" s="18" t="s">
        <v>9</v>
      </c>
      <c r="C2893" s="19">
        <f>40333+(3*365)</f>
        <v>41428</v>
      </c>
      <c r="D2893" s="18" t="s">
        <v>80</v>
      </c>
      <c r="E2893" s="18" t="s">
        <v>64</v>
      </c>
      <c r="F2893" s="21">
        <v>7128</v>
      </c>
    </row>
    <row r="2894" spans="2:6" x14ac:dyDescent="0.25">
      <c r="B2894" s="18" t="s">
        <v>25</v>
      </c>
      <c r="C2894" s="19">
        <f>40445+(3*365)</f>
        <v>41540</v>
      </c>
      <c r="D2894" s="18" t="s">
        <v>78</v>
      </c>
      <c r="E2894" s="18" t="s">
        <v>59</v>
      </c>
      <c r="F2894" s="21">
        <v>252</v>
      </c>
    </row>
    <row r="2895" spans="2:6" x14ac:dyDescent="0.25">
      <c r="B2895" s="18" t="s">
        <v>25</v>
      </c>
      <c r="C2895" s="19">
        <f>40315+(3*365)</f>
        <v>41410</v>
      </c>
      <c r="D2895" s="18" t="s">
        <v>79</v>
      </c>
      <c r="E2895" s="18" t="s">
        <v>66</v>
      </c>
      <c r="F2895" s="21">
        <v>600</v>
      </c>
    </row>
    <row r="2896" spans="2:6" x14ac:dyDescent="0.25">
      <c r="B2896" s="18" t="s">
        <v>25</v>
      </c>
      <c r="C2896" s="19">
        <f>40598+(3*365)</f>
        <v>41693</v>
      </c>
      <c r="D2896" s="18" t="s">
        <v>79</v>
      </c>
      <c r="E2896" s="18" t="s">
        <v>72</v>
      </c>
      <c r="F2896" s="21">
        <v>7380</v>
      </c>
    </row>
    <row r="2897" spans="2:6" x14ac:dyDescent="0.25">
      <c r="B2897" s="18" t="s">
        <v>10</v>
      </c>
      <c r="C2897" s="19">
        <f>40807+(3*365)</f>
        <v>41902</v>
      </c>
      <c r="D2897" s="18" t="s">
        <v>67</v>
      </c>
      <c r="E2897" s="18" t="s">
        <v>69</v>
      </c>
      <c r="F2897" s="21">
        <v>196</v>
      </c>
    </row>
    <row r="2898" spans="2:6" x14ac:dyDescent="0.25">
      <c r="B2898" s="18" t="s">
        <v>10</v>
      </c>
      <c r="C2898" s="19">
        <f>40465+(3*365)</f>
        <v>41560</v>
      </c>
      <c r="D2898" s="18" t="s">
        <v>65</v>
      </c>
      <c r="E2898" s="18" t="s">
        <v>64</v>
      </c>
      <c r="F2898" s="21">
        <v>1620</v>
      </c>
    </row>
    <row r="2899" spans="2:6" x14ac:dyDescent="0.25">
      <c r="B2899" s="18" t="s">
        <v>9</v>
      </c>
      <c r="C2899" s="19">
        <f>40177+(3*365)</f>
        <v>41272</v>
      </c>
      <c r="D2899" s="18" t="s">
        <v>80</v>
      </c>
      <c r="E2899" s="18" t="s">
        <v>66</v>
      </c>
      <c r="F2899" s="21">
        <v>840</v>
      </c>
    </row>
    <row r="2900" spans="2:6" x14ac:dyDescent="0.25">
      <c r="B2900" s="18" t="s">
        <v>9</v>
      </c>
      <c r="C2900" s="19">
        <f>41256+(3*365)</f>
        <v>42351</v>
      </c>
      <c r="D2900" s="18" t="s">
        <v>62</v>
      </c>
      <c r="E2900" s="18" t="s">
        <v>64</v>
      </c>
      <c r="F2900" s="21">
        <v>1044</v>
      </c>
    </row>
    <row r="2901" spans="2:6" x14ac:dyDescent="0.25">
      <c r="B2901" s="18" t="s">
        <v>10</v>
      </c>
      <c r="C2901" s="19">
        <f>40971+(3*365)</f>
        <v>42066</v>
      </c>
      <c r="D2901" s="18" t="s">
        <v>67</v>
      </c>
      <c r="E2901" s="18" t="s">
        <v>72</v>
      </c>
      <c r="F2901" s="21">
        <v>1341</v>
      </c>
    </row>
    <row r="2902" spans="2:6" x14ac:dyDescent="0.25">
      <c r="B2902" s="18" t="s">
        <v>10</v>
      </c>
      <c r="C2902" s="19">
        <f>40474+(3*365)</f>
        <v>41569</v>
      </c>
      <c r="D2902" s="18" t="s">
        <v>67</v>
      </c>
      <c r="E2902" s="18" t="s">
        <v>59</v>
      </c>
      <c r="F2902" s="21">
        <v>288</v>
      </c>
    </row>
    <row r="2903" spans="2:6" x14ac:dyDescent="0.25">
      <c r="B2903" s="18" t="s">
        <v>25</v>
      </c>
      <c r="C2903" s="19">
        <f>40731+(3*365)</f>
        <v>41826</v>
      </c>
      <c r="D2903" s="18" t="s">
        <v>79</v>
      </c>
      <c r="E2903" s="18" t="s">
        <v>64</v>
      </c>
      <c r="F2903" s="21">
        <v>10280</v>
      </c>
    </row>
    <row r="2904" spans="2:6" x14ac:dyDescent="0.25">
      <c r="B2904" s="18" t="s">
        <v>25</v>
      </c>
      <c r="C2904" s="19">
        <f>41147+(3*365)</f>
        <v>42242</v>
      </c>
      <c r="D2904" s="18" t="s">
        <v>78</v>
      </c>
      <c r="E2904" s="18" t="s">
        <v>63</v>
      </c>
      <c r="F2904" s="21">
        <v>118</v>
      </c>
    </row>
    <row r="2905" spans="2:6" x14ac:dyDescent="0.25">
      <c r="B2905" s="18" t="s">
        <v>10</v>
      </c>
      <c r="C2905" s="19">
        <f>40561+(3*365)</f>
        <v>41656</v>
      </c>
      <c r="D2905" s="18" t="s">
        <v>67</v>
      </c>
      <c r="E2905" s="18" t="s">
        <v>69</v>
      </c>
      <c r="F2905" s="21">
        <v>476</v>
      </c>
    </row>
    <row r="2906" spans="2:6" x14ac:dyDescent="0.25">
      <c r="B2906" s="18" t="s">
        <v>31</v>
      </c>
      <c r="C2906" s="19">
        <f>40358+(3*365)</f>
        <v>41453</v>
      </c>
      <c r="D2906" s="18" t="s">
        <v>70</v>
      </c>
      <c r="E2906" s="18" t="s">
        <v>69</v>
      </c>
      <c r="F2906" s="21">
        <v>828</v>
      </c>
    </row>
    <row r="2907" spans="2:6" x14ac:dyDescent="0.25">
      <c r="B2907" s="18" t="s">
        <v>25</v>
      </c>
      <c r="C2907" s="19">
        <f>40901+(3*365)</f>
        <v>41996</v>
      </c>
      <c r="D2907" s="18" t="s">
        <v>79</v>
      </c>
      <c r="E2907" s="18" t="s">
        <v>69</v>
      </c>
      <c r="F2907" s="21">
        <v>540</v>
      </c>
    </row>
    <row r="2908" spans="2:6" x14ac:dyDescent="0.25">
      <c r="B2908" s="18" t="s">
        <v>11</v>
      </c>
      <c r="C2908" s="19">
        <f>40953+(3*365)</f>
        <v>42048</v>
      </c>
      <c r="D2908" s="18" t="s">
        <v>60</v>
      </c>
      <c r="E2908" s="18" t="s">
        <v>72</v>
      </c>
      <c r="F2908" s="21">
        <v>1992</v>
      </c>
    </row>
    <row r="2909" spans="2:6" x14ac:dyDescent="0.25">
      <c r="B2909" s="18" t="s">
        <v>31</v>
      </c>
      <c r="C2909" s="19">
        <f>39985+(3*365)</f>
        <v>41080</v>
      </c>
      <c r="D2909" s="18" t="s">
        <v>76</v>
      </c>
      <c r="E2909" s="18" t="s">
        <v>64</v>
      </c>
      <c r="F2909" s="21">
        <v>9261</v>
      </c>
    </row>
    <row r="2910" spans="2:6" x14ac:dyDescent="0.25">
      <c r="B2910" s="18" t="s">
        <v>25</v>
      </c>
      <c r="C2910" s="19">
        <f>41218+(3*365)</f>
        <v>42313</v>
      </c>
      <c r="D2910" s="18" t="s">
        <v>78</v>
      </c>
      <c r="E2910" s="18" t="s">
        <v>61</v>
      </c>
      <c r="F2910" s="21">
        <v>826</v>
      </c>
    </row>
    <row r="2911" spans="2:6" x14ac:dyDescent="0.25">
      <c r="B2911" s="18" t="s">
        <v>9</v>
      </c>
      <c r="C2911" s="19">
        <f>40507+(3*365)</f>
        <v>41602</v>
      </c>
      <c r="D2911" s="18" t="s">
        <v>62</v>
      </c>
      <c r="E2911" s="18" t="s">
        <v>69</v>
      </c>
      <c r="F2911" s="21">
        <v>1380</v>
      </c>
    </row>
    <row r="2912" spans="2:6" x14ac:dyDescent="0.25">
      <c r="B2912" s="18" t="s">
        <v>9</v>
      </c>
      <c r="C2912" s="19">
        <f>40678+(3*365)</f>
        <v>41773</v>
      </c>
      <c r="D2912" s="18" t="s">
        <v>62</v>
      </c>
      <c r="E2912" s="18" t="s">
        <v>66</v>
      </c>
      <c r="F2912" s="21">
        <v>1620</v>
      </c>
    </row>
    <row r="2913" spans="2:6" x14ac:dyDescent="0.25">
      <c r="B2913" s="18" t="s">
        <v>18</v>
      </c>
      <c r="C2913" s="19">
        <f>39925+(3*365)</f>
        <v>41020</v>
      </c>
      <c r="D2913" s="18" t="s">
        <v>71</v>
      </c>
      <c r="E2913" s="18" t="s">
        <v>64</v>
      </c>
      <c r="F2913" s="21">
        <v>4730</v>
      </c>
    </row>
    <row r="2914" spans="2:6" x14ac:dyDescent="0.25">
      <c r="B2914" s="18" t="s">
        <v>31</v>
      </c>
      <c r="C2914" s="19">
        <f>40702+(3*365)</f>
        <v>41797</v>
      </c>
      <c r="D2914" s="18" t="s">
        <v>76</v>
      </c>
      <c r="E2914" s="18" t="s">
        <v>64</v>
      </c>
      <c r="F2914" s="21">
        <v>9945</v>
      </c>
    </row>
    <row r="2915" spans="2:6" x14ac:dyDescent="0.25">
      <c r="B2915" s="18" t="s">
        <v>31</v>
      </c>
      <c r="C2915" s="19">
        <f>40643+(3*365)</f>
        <v>41738</v>
      </c>
      <c r="D2915" s="18" t="s">
        <v>70</v>
      </c>
      <c r="E2915" s="18" t="s">
        <v>75</v>
      </c>
      <c r="F2915" s="21">
        <v>768</v>
      </c>
    </row>
    <row r="2916" spans="2:6" x14ac:dyDescent="0.25">
      <c r="B2916" s="18" t="s">
        <v>31</v>
      </c>
      <c r="C2916" s="19">
        <f>40673+(3*365)</f>
        <v>41768</v>
      </c>
      <c r="D2916" s="18" t="s">
        <v>76</v>
      </c>
      <c r="E2916" s="18" t="s">
        <v>61</v>
      </c>
      <c r="F2916" s="21">
        <v>864</v>
      </c>
    </row>
    <row r="2917" spans="2:6" x14ac:dyDescent="0.25">
      <c r="B2917" s="18" t="s">
        <v>8</v>
      </c>
      <c r="C2917" s="19">
        <f>39834+(3*365)</f>
        <v>40929</v>
      </c>
      <c r="D2917" s="18" t="s">
        <v>81</v>
      </c>
      <c r="E2917" s="18" t="s">
        <v>61</v>
      </c>
      <c r="F2917" s="21">
        <v>141</v>
      </c>
    </row>
    <row r="2918" spans="2:6" x14ac:dyDescent="0.25">
      <c r="B2918" s="18" t="s">
        <v>18</v>
      </c>
      <c r="C2918" s="19">
        <f>40438+(3*365)</f>
        <v>41533</v>
      </c>
      <c r="D2918" s="18" t="s">
        <v>71</v>
      </c>
      <c r="E2918" s="18" t="s">
        <v>61</v>
      </c>
      <c r="F2918" s="21">
        <v>504</v>
      </c>
    </row>
    <row r="2919" spans="2:6" x14ac:dyDescent="0.25">
      <c r="B2919" s="18" t="s">
        <v>10</v>
      </c>
      <c r="C2919" s="19">
        <f>40579+(3*365)</f>
        <v>41674</v>
      </c>
      <c r="D2919" s="18" t="s">
        <v>67</v>
      </c>
      <c r="E2919" s="18" t="s">
        <v>63</v>
      </c>
      <c r="F2919" s="21">
        <v>310</v>
      </c>
    </row>
    <row r="2920" spans="2:6" x14ac:dyDescent="0.25">
      <c r="B2920" s="18" t="s">
        <v>9</v>
      </c>
      <c r="C2920" s="19">
        <f>40216+(3*365)</f>
        <v>41311</v>
      </c>
      <c r="D2920" s="18" t="s">
        <v>62</v>
      </c>
      <c r="E2920" s="18" t="s">
        <v>72</v>
      </c>
      <c r="F2920" s="21">
        <v>1404</v>
      </c>
    </row>
    <row r="2921" spans="2:6" x14ac:dyDescent="0.25">
      <c r="B2921" s="18" t="s">
        <v>8</v>
      </c>
      <c r="C2921" s="19">
        <f>41049+(3*365)</f>
        <v>42144</v>
      </c>
      <c r="D2921" s="18" t="s">
        <v>77</v>
      </c>
      <c r="E2921" s="18" t="s">
        <v>75</v>
      </c>
      <c r="F2921" s="21">
        <v>616</v>
      </c>
    </row>
    <row r="2922" spans="2:6" x14ac:dyDescent="0.25">
      <c r="B2922" s="18" t="s">
        <v>31</v>
      </c>
      <c r="C2922" s="19">
        <f>40317+(3*365)</f>
        <v>41412</v>
      </c>
      <c r="D2922" s="18" t="s">
        <v>76</v>
      </c>
      <c r="E2922" s="18" t="s">
        <v>61</v>
      </c>
      <c r="F2922" s="21">
        <v>210</v>
      </c>
    </row>
    <row r="2923" spans="2:6" x14ac:dyDescent="0.25">
      <c r="B2923" s="18" t="s">
        <v>25</v>
      </c>
      <c r="C2923" s="19">
        <f>40148+(3*365)</f>
        <v>41243</v>
      </c>
      <c r="D2923" s="18" t="s">
        <v>78</v>
      </c>
      <c r="E2923" s="18" t="s">
        <v>59</v>
      </c>
      <c r="F2923" s="21">
        <v>66</v>
      </c>
    </row>
    <row r="2924" spans="2:6" x14ac:dyDescent="0.25">
      <c r="B2924" s="18" t="s">
        <v>11</v>
      </c>
      <c r="C2924" s="19">
        <f>39887+(3*365)</f>
        <v>40982</v>
      </c>
      <c r="D2924" s="18" t="s">
        <v>74</v>
      </c>
      <c r="E2924" s="18" t="s">
        <v>66</v>
      </c>
      <c r="F2924" s="21">
        <v>1386</v>
      </c>
    </row>
    <row r="2925" spans="2:6" x14ac:dyDescent="0.25">
      <c r="B2925" s="18" t="s">
        <v>21</v>
      </c>
      <c r="C2925" s="19">
        <f>39960+(3*365)</f>
        <v>41055</v>
      </c>
      <c r="D2925" s="18" t="s">
        <v>58</v>
      </c>
      <c r="E2925" s="18" t="s">
        <v>63</v>
      </c>
      <c r="F2925" s="21">
        <v>204</v>
      </c>
    </row>
    <row r="2926" spans="2:6" x14ac:dyDescent="0.25">
      <c r="B2926" s="18" t="s">
        <v>9</v>
      </c>
      <c r="C2926" s="19">
        <f>40562+(3*365)</f>
        <v>41657</v>
      </c>
      <c r="D2926" s="18" t="s">
        <v>62</v>
      </c>
      <c r="E2926" s="18" t="s">
        <v>66</v>
      </c>
      <c r="F2926" s="21">
        <v>324</v>
      </c>
    </row>
    <row r="2927" spans="2:6" x14ac:dyDescent="0.25">
      <c r="B2927" s="18" t="s">
        <v>18</v>
      </c>
      <c r="C2927" s="19">
        <f>40325+(3*365)</f>
        <v>41420</v>
      </c>
      <c r="D2927" s="18" t="s">
        <v>68</v>
      </c>
      <c r="E2927" s="18" t="s">
        <v>59</v>
      </c>
      <c r="F2927" s="21">
        <v>567</v>
      </c>
    </row>
    <row r="2928" spans="2:6" x14ac:dyDescent="0.25">
      <c r="B2928" s="18" t="s">
        <v>8</v>
      </c>
      <c r="C2928" s="19">
        <f>40968+(3*365)</f>
        <v>42063</v>
      </c>
      <c r="D2928" s="18" t="s">
        <v>81</v>
      </c>
      <c r="E2928" s="18" t="s">
        <v>61</v>
      </c>
      <c r="F2928" s="21">
        <v>1224</v>
      </c>
    </row>
    <row r="2929" spans="2:6" x14ac:dyDescent="0.25">
      <c r="B2929" s="18" t="s">
        <v>31</v>
      </c>
      <c r="C2929" s="19">
        <f>40729+(3*365)</f>
        <v>41824</v>
      </c>
      <c r="D2929" s="18" t="s">
        <v>70</v>
      </c>
      <c r="E2929" s="18" t="s">
        <v>69</v>
      </c>
      <c r="F2929" s="21">
        <v>1512</v>
      </c>
    </row>
    <row r="2930" spans="2:6" x14ac:dyDescent="0.25">
      <c r="B2930" s="18" t="s">
        <v>21</v>
      </c>
      <c r="C2930" s="19">
        <f>39968+(3*365)</f>
        <v>41063</v>
      </c>
      <c r="D2930" s="18" t="s">
        <v>58</v>
      </c>
      <c r="E2930" s="18" t="s">
        <v>75</v>
      </c>
      <c r="F2930" s="21">
        <v>56</v>
      </c>
    </row>
    <row r="2931" spans="2:6" x14ac:dyDescent="0.25">
      <c r="B2931" s="18" t="s">
        <v>10</v>
      </c>
      <c r="C2931" s="19">
        <f>40572+(3*365)</f>
        <v>41667</v>
      </c>
      <c r="D2931" s="18" t="s">
        <v>67</v>
      </c>
      <c r="E2931" s="18" t="s">
        <v>59</v>
      </c>
      <c r="F2931" s="21">
        <v>68</v>
      </c>
    </row>
    <row r="2932" spans="2:6" x14ac:dyDescent="0.25">
      <c r="B2932" s="18" t="s">
        <v>25</v>
      </c>
      <c r="C2932" s="19">
        <f>41165+(3*365)</f>
        <v>42260</v>
      </c>
      <c r="D2932" s="18" t="s">
        <v>78</v>
      </c>
      <c r="E2932" s="18" t="s">
        <v>61</v>
      </c>
      <c r="F2932" s="21">
        <v>60</v>
      </c>
    </row>
    <row r="2933" spans="2:6" x14ac:dyDescent="0.25">
      <c r="B2933" s="18" t="s">
        <v>10</v>
      </c>
      <c r="C2933" s="19">
        <f>40728+(3*365)</f>
        <v>41823</v>
      </c>
      <c r="D2933" s="18" t="s">
        <v>65</v>
      </c>
      <c r="E2933" s="18" t="s">
        <v>64</v>
      </c>
      <c r="F2933" s="21">
        <v>9486</v>
      </c>
    </row>
    <row r="2934" spans="2:6" x14ac:dyDescent="0.25">
      <c r="B2934" s="18" t="s">
        <v>25</v>
      </c>
      <c r="C2934" s="19">
        <f>41235+(3*365)</f>
        <v>42330</v>
      </c>
      <c r="D2934" s="18" t="s">
        <v>78</v>
      </c>
      <c r="E2934" s="18" t="s">
        <v>61</v>
      </c>
      <c r="F2934" s="21">
        <v>124</v>
      </c>
    </row>
    <row r="2935" spans="2:6" x14ac:dyDescent="0.25">
      <c r="B2935" s="18" t="s">
        <v>8</v>
      </c>
      <c r="C2935" s="19">
        <f>40350+(3*365)</f>
        <v>41445</v>
      </c>
      <c r="D2935" s="18" t="s">
        <v>77</v>
      </c>
      <c r="E2935" s="18" t="s">
        <v>64</v>
      </c>
      <c r="F2935" s="21">
        <v>18696</v>
      </c>
    </row>
    <row r="2936" spans="2:6" x14ac:dyDescent="0.25">
      <c r="B2936" s="18" t="s">
        <v>25</v>
      </c>
      <c r="C2936" s="19">
        <f>41106+(3*365)</f>
        <v>42201</v>
      </c>
      <c r="D2936" s="18" t="s">
        <v>78</v>
      </c>
      <c r="E2936" s="18" t="s">
        <v>63</v>
      </c>
      <c r="F2936" s="21">
        <v>348</v>
      </c>
    </row>
    <row r="2937" spans="2:6" x14ac:dyDescent="0.25">
      <c r="B2937" s="18" t="s">
        <v>8</v>
      </c>
      <c r="C2937" s="19">
        <f>41011+(3*365)</f>
        <v>42106</v>
      </c>
      <c r="D2937" s="18" t="s">
        <v>81</v>
      </c>
      <c r="E2937" s="18" t="s">
        <v>59</v>
      </c>
      <c r="F2937" s="21">
        <v>264</v>
      </c>
    </row>
    <row r="2938" spans="2:6" x14ac:dyDescent="0.25">
      <c r="B2938" s="18" t="s">
        <v>25</v>
      </c>
      <c r="C2938" s="19">
        <f>39895+(3*365)</f>
        <v>40990</v>
      </c>
      <c r="D2938" s="18" t="s">
        <v>78</v>
      </c>
      <c r="E2938" s="18" t="s">
        <v>69</v>
      </c>
      <c r="F2938" s="21">
        <v>2880</v>
      </c>
    </row>
    <row r="2939" spans="2:6" x14ac:dyDescent="0.25">
      <c r="B2939" s="18" t="s">
        <v>21</v>
      </c>
      <c r="C2939" s="19">
        <f>41213+(3*365)</f>
        <v>42308</v>
      </c>
      <c r="D2939" s="18" t="s">
        <v>73</v>
      </c>
      <c r="E2939" s="18" t="s">
        <v>72</v>
      </c>
      <c r="F2939" s="21">
        <v>5920</v>
      </c>
    </row>
    <row r="2940" spans="2:6" x14ac:dyDescent="0.25">
      <c r="B2940" s="18" t="s">
        <v>31</v>
      </c>
      <c r="C2940" s="19">
        <f>40312+(3*365)</f>
        <v>41407</v>
      </c>
      <c r="D2940" s="18" t="s">
        <v>70</v>
      </c>
      <c r="E2940" s="18" t="s">
        <v>69</v>
      </c>
      <c r="F2940" s="21">
        <v>2619</v>
      </c>
    </row>
    <row r="2941" spans="2:6" x14ac:dyDescent="0.25">
      <c r="B2941" s="18" t="s">
        <v>8</v>
      </c>
      <c r="C2941" s="19">
        <f>40864+(3*365)</f>
        <v>41959</v>
      </c>
      <c r="D2941" s="18" t="s">
        <v>77</v>
      </c>
      <c r="E2941" s="18" t="s">
        <v>64</v>
      </c>
      <c r="F2941" s="21">
        <v>13888</v>
      </c>
    </row>
    <row r="2942" spans="2:6" x14ac:dyDescent="0.25">
      <c r="B2942" s="18" t="s">
        <v>11</v>
      </c>
      <c r="C2942" s="19">
        <f>41154+(3*365)</f>
        <v>42249</v>
      </c>
      <c r="D2942" s="18" t="s">
        <v>74</v>
      </c>
      <c r="E2942" s="18" t="s">
        <v>69</v>
      </c>
      <c r="F2942" s="21">
        <v>1152</v>
      </c>
    </row>
    <row r="2943" spans="2:6" x14ac:dyDescent="0.25">
      <c r="B2943" s="18" t="s">
        <v>25</v>
      </c>
      <c r="C2943" s="19">
        <f>40391+(3*365)</f>
        <v>41486</v>
      </c>
      <c r="D2943" s="18" t="s">
        <v>78</v>
      </c>
      <c r="E2943" s="18" t="s">
        <v>69</v>
      </c>
      <c r="F2943" s="21">
        <v>888</v>
      </c>
    </row>
    <row r="2944" spans="2:6" x14ac:dyDescent="0.25">
      <c r="B2944" s="18" t="s">
        <v>9</v>
      </c>
      <c r="C2944" s="19">
        <f>40209+(3*365)</f>
        <v>41304</v>
      </c>
      <c r="D2944" s="18" t="s">
        <v>62</v>
      </c>
      <c r="E2944" s="18" t="s">
        <v>69</v>
      </c>
      <c r="F2944" s="21">
        <v>1134</v>
      </c>
    </row>
    <row r="2945" spans="2:6" x14ac:dyDescent="0.25">
      <c r="B2945" s="18" t="s">
        <v>9</v>
      </c>
      <c r="C2945" s="19">
        <f>41251+(3*365)</f>
        <v>42346</v>
      </c>
      <c r="D2945" s="18" t="s">
        <v>80</v>
      </c>
      <c r="E2945" s="18" t="s">
        <v>59</v>
      </c>
      <c r="F2945" s="21">
        <v>315</v>
      </c>
    </row>
    <row r="2946" spans="2:6" x14ac:dyDescent="0.25">
      <c r="B2946" s="18" t="s">
        <v>31</v>
      </c>
      <c r="C2946" s="19">
        <f>40212+(3*365)</f>
        <v>41307</v>
      </c>
      <c r="D2946" s="18" t="s">
        <v>76</v>
      </c>
      <c r="E2946" s="18" t="s">
        <v>69</v>
      </c>
      <c r="F2946" s="21">
        <v>210</v>
      </c>
    </row>
    <row r="2947" spans="2:6" x14ac:dyDescent="0.25">
      <c r="B2947" s="18" t="s">
        <v>10</v>
      </c>
      <c r="C2947" s="19">
        <f>41041+(3*365)</f>
        <v>42136</v>
      </c>
      <c r="D2947" s="18" t="s">
        <v>67</v>
      </c>
      <c r="E2947" s="18" t="s">
        <v>66</v>
      </c>
      <c r="F2947" s="21">
        <v>1344</v>
      </c>
    </row>
    <row r="2948" spans="2:6" x14ac:dyDescent="0.25">
      <c r="B2948" s="18" t="s">
        <v>9</v>
      </c>
      <c r="C2948" s="19">
        <f>40989+(3*365)</f>
        <v>42084</v>
      </c>
      <c r="D2948" s="18" t="s">
        <v>80</v>
      </c>
      <c r="E2948" s="18" t="s">
        <v>72</v>
      </c>
      <c r="F2948" s="21">
        <v>966</v>
      </c>
    </row>
    <row r="2949" spans="2:6" x14ac:dyDescent="0.25">
      <c r="B2949" s="18" t="s">
        <v>25</v>
      </c>
      <c r="C2949" s="19">
        <f>40426+(3*365)</f>
        <v>41521</v>
      </c>
      <c r="D2949" s="18" t="s">
        <v>78</v>
      </c>
      <c r="E2949" s="18" t="s">
        <v>66</v>
      </c>
      <c r="F2949" s="21">
        <v>1872</v>
      </c>
    </row>
    <row r="2950" spans="2:6" x14ac:dyDescent="0.25">
      <c r="B2950" s="18" t="s">
        <v>10</v>
      </c>
      <c r="C2950" s="19">
        <f>40056+(3*365)</f>
        <v>41151</v>
      </c>
      <c r="D2950" s="18" t="s">
        <v>65</v>
      </c>
      <c r="E2950" s="18" t="s">
        <v>61</v>
      </c>
      <c r="F2950" s="21">
        <v>124</v>
      </c>
    </row>
    <row r="2951" spans="2:6" x14ac:dyDescent="0.25">
      <c r="B2951" s="18" t="s">
        <v>21</v>
      </c>
      <c r="C2951" s="19">
        <f>40862+(3*365)</f>
        <v>41957</v>
      </c>
      <c r="D2951" s="18" t="s">
        <v>58</v>
      </c>
      <c r="E2951" s="18" t="s">
        <v>66</v>
      </c>
      <c r="F2951" s="21">
        <v>246</v>
      </c>
    </row>
    <row r="2952" spans="2:6" x14ac:dyDescent="0.25">
      <c r="B2952" s="18" t="s">
        <v>9</v>
      </c>
      <c r="C2952" s="19">
        <f>40019+(3*365)</f>
        <v>41114</v>
      </c>
      <c r="D2952" s="18" t="s">
        <v>62</v>
      </c>
      <c r="E2952" s="18" t="s">
        <v>66</v>
      </c>
      <c r="F2952" s="21">
        <v>260</v>
      </c>
    </row>
    <row r="2953" spans="2:6" x14ac:dyDescent="0.25">
      <c r="B2953" s="18" t="s">
        <v>8</v>
      </c>
      <c r="C2953" s="19">
        <f>40067+(3*365)</f>
        <v>41162</v>
      </c>
      <c r="D2953" s="18" t="s">
        <v>77</v>
      </c>
      <c r="E2953" s="18" t="s">
        <v>66</v>
      </c>
      <c r="F2953" s="21">
        <v>225</v>
      </c>
    </row>
    <row r="2954" spans="2:6" x14ac:dyDescent="0.25">
      <c r="B2954" s="18" t="s">
        <v>9</v>
      </c>
      <c r="C2954" s="19">
        <f>41016+(3*365)</f>
        <v>42111</v>
      </c>
      <c r="D2954" s="18" t="s">
        <v>62</v>
      </c>
      <c r="E2954" s="18" t="s">
        <v>75</v>
      </c>
      <c r="F2954" s="21">
        <v>28</v>
      </c>
    </row>
    <row r="2955" spans="2:6" x14ac:dyDescent="0.25">
      <c r="B2955" s="18" t="s">
        <v>18</v>
      </c>
      <c r="C2955" s="19">
        <f>41030+(3*365)</f>
        <v>42125</v>
      </c>
      <c r="D2955" s="18" t="s">
        <v>68</v>
      </c>
      <c r="E2955" s="18" t="s">
        <v>63</v>
      </c>
      <c r="F2955" s="21">
        <v>870</v>
      </c>
    </row>
    <row r="2956" spans="2:6" x14ac:dyDescent="0.25">
      <c r="B2956" s="18" t="s">
        <v>10</v>
      </c>
      <c r="C2956" s="19">
        <f>40711+(3*365)</f>
        <v>41806</v>
      </c>
      <c r="D2956" s="18" t="s">
        <v>67</v>
      </c>
      <c r="E2956" s="18" t="s">
        <v>72</v>
      </c>
      <c r="F2956" s="21">
        <v>4592</v>
      </c>
    </row>
    <row r="2957" spans="2:6" x14ac:dyDescent="0.25">
      <c r="B2957" s="18" t="s">
        <v>21</v>
      </c>
      <c r="C2957" s="19">
        <f>41136+(3*365)</f>
        <v>42231</v>
      </c>
      <c r="D2957" s="18" t="s">
        <v>58</v>
      </c>
      <c r="E2957" s="18" t="s">
        <v>59</v>
      </c>
      <c r="F2957" s="21">
        <v>204</v>
      </c>
    </row>
    <row r="2958" spans="2:6" x14ac:dyDescent="0.25">
      <c r="B2958" s="18" t="s">
        <v>18</v>
      </c>
      <c r="C2958" s="19">
        <f>40411+(3*365)</f>
        <v>41506</v>
      </c>
      <c r="D2958" s="18" t="s">
        <v>68</v>
      </c>
      <c r="E2958" s="18" t="s">
        <v>63</v>
      </c>
      <c r="F2958" s="21">
        <v>480</v>
      </c>
    </row>
    <row r="2959" spans="2:6" x14ac:dyDescent="0.25">
      <c r="B2959" s="18" t="s">
        <v>10</v>
      </c>
      <c r="C2959" s="19">
        <f>40217+(3*365)</f>
        <v>41312</v>
      </c>
      <c r="D2959" s="18" t="s">
        <v>67</v>
      </c>
      <c r="E2959" s="18" t="s">
        <v>75</v>
      </c>
      <c r="F2959" s="21">
        <v>936</v>
      </c>
    </row>
    <row r="2960" spans="2:6" x14ac:dyDescent="0.25">
      <c r="B2960" s="18" t="s">
        <v>21</v>
      </c>
      <c r="C2960" s="19">
        <f>41219+(3*365)</f>
        <v>42314</v>
      </c>
      <c r="D2960" s="18" t="s">
        <v>58</v>
      </c>
      <c r="E2960" s="18" t="s">
        <v>72</v>
      </c>
      <c r="F2960" s="21">
        <v>672</v>
      </c>
    </row>
    <row r="2961" spans="2:6" x14ac:dyDescent="0.25">
      <c r="B2961" s="18" t="s">
        <v>18</v>
      </c>
      <c r="C2961" s="19">
        <f>40177+(3*365)</f>
        <v>41272</v>
      </c>
      <c r="D2961" s="18" t="s">
        <v>68</v>
      </c>
      <c r="E2961" s="18" t="s">
        <v>63</v>
      </c>
      <c r="F2961" s="21">
        <v>780</v>
      </c>
    </row>
    <row r="2962" spans="2:6" x14ac:dyDescent="0.25">
      <c r="B2962" s="18" t="s">
        <v>21</v>
      </c>
      <c r="C2962" s="19">
        <f>40252+(3*365)</f>
        <v>41347</v>
      </c>
      <c r="D2962" s="18" t="s">
        <v>58</v>
      </c>
      <c r="E2962" s="18" t="s">
        <v>72</v>
      </c>
      <c r="F2962" s="21">
        <v>948</v>
      </c>
    </row>
    <row r="2963" spans="2:6" x14ac:dyDescent="0.25">
      <c r="B2963" s="18" t="s">
        <v>31</v>
      </c>
      <c r="C2963" s="19">
        <f>40006+(3*365)</f>
        <v>41101</v>
      </c>
      <c r="D2963" s="18" t="s">
        <v>76</v>
      </c>
      <c r="E2963" s="18" t="s">
        <v>63</v>
      </c>
      <c r="F2963" s="21">
        <v>744</v>
      </c>
    </row>
    <row r="2964" spans="2:6" x14ac:dyDescent="0.25">
      <c r="B2964" s="18" t="s">
        <v>25</v>
      </c>
      <c r="C2964" s="19">
        <f>40550+(3*365)</f>
        <v>41645</v>
      </c>
      <c r="D2964" s="18" t="s">
        <v>79</v>
      </c>
      <c r="E2964" s="18" t="s">
        <v>72</v>
      </c>
      <c r="F2964" s="21">
        <v>2096</v>
      </c>
    </row>
    <row r="2965" spans="2:6" x14ac:dyDescent="0.25">
      <c r="B2965" s="18" t="s">
        <v>8</v>
      </c>
      <c r="C2965" s="19">
        <f>39919+(3*365)</f>
        <v>41014</v>
      </c>
      <c r="D2965" s="18" t="s">
        <v>81</v>
      </c>
      <c r="E2965" s="18" t="s">
        <v>59</v>
      </c>
      <c r="F2965" s="21">
        <v>348</v>
      </c>
    </row>
    <row r="2966" spans="2:6" x14ac:dyDescent="0.25">
      <c r="B2966" s="18" t="s">
        <v>8</v>
      </c>
      <c r="C2966" s="19">
        <f>40529+(3*365)</f>
        <v>41624</v>
      </c>
      <c r="D2966" s="18" t="s">
        <v>77</v>
      </c>
      <c r="E2966" s="18" t="s">
        <v>61</v>
      </c>
      <c r="F2966" s="21">
        <v>1104</v>
      </c>
    </row>
    <row r="2967" spans="2:6" x14ac:dyDescent="0.25">
      <c r="B2967" s="18" t="s">
        <v>8</v>
      </c>
      <c r="C2967" s="19">
        <f>40832+(3*365)</f>
        <v>41927</v>
      </c>
      <c r="D2967" s="18" t="s">
        <v>81</v>
      </c>
      <c r="E2967" s="18" t="s">
        <v>66</v>
      </c>
      <c r="F2967" s="21">
        <v>768</v>
      </c>
    </row>
    <row r="2968" spans="2:6" x14ac:dyDescent="0.25">
      <c r="B2968" s="18" t="s">
        <v>18</v>
      </c>
      <c r="C2968" s="19">
        <f>40018+(3*365)</f>
        <v>41113</v>
      </c>
      <c r="D2968" s="18" t="s">
        <v>71</v>
      </c>
      <c r="E2968" s="18" t="s">
        <v>63</v>
      </c>
      <c r="F2968" s="21">
        <v>468</v>
      </c>
    </row>
    <row r="2969" spans="2:6" x14ac:dyDescent="0.25">
      <c r="B2969" s="18" t="s">
        <v>9</v>
      </c>
      <c r="C2969" s="19">
        <f>40279+(3*365)</f>
        <v>41374</v>
      </c>
      <c r="D2969" s="18" t="s">
        <v>80</v>
      </c>
      <c r="E2969" s="18" t="s">
        <v>72</v>
      </c>
      <c r="F2969" s="21">
        <v>134</v>
      </c>
    </row>
    <row r="2970" spans="2:6" x14ac:dyDescent="0.25">
      <c r="B2970" s="18" t="s">
        <v>18</v>
      </c>
      <c r="C2970" s="19">
        <f>40937+(3*365)</f>
        <v>42032</v>
      </c>
      <c r="D2970" s="18" t="s">
        <v>68</v>
      </c>
      <c r="E2970" s="18" t="s">
        <v>61</v>
      </c>
      <c r="F2970" s="21">
        <v>792</v>
      </c>
    </row>
    <row r="2971" spans="2:6" x14ac:dyDescent="0.25">
      <c r="B2971" s="18" t="s">
        <v>10</v>
      </c>
      <c r="C2971" s="19">
        <f>41174+(3*365)</f>
        <v>42269</v>
      </c>
      <c r="D2971" s="18" t="s">
        <v>65</v>
      </c>
      <c r="E2971" s="18" t="s">
        <v>61</v>
      </c>
      <c r="F2971" s="21">
        <v>369</v>
      </c>
    </row>
    <row r="2972" spans="2:6" x14ac:dyDescent="0.25">
      <c r="B2972" s="18" t="s">
        <v>21</v>
      </c>
      <c r="C2972" s="19">
        <f>40004+(3*365)</f>
        <v>41099</v>
      </c>
      <c r="D2972" s="18" t="s">
        <v>58</v>
      </c>
      <c r="E2972" s="18" t="s">
        <v>69</v>
      </c>
      <c r="F2972" s="21">
        <v>531</v>
      </c>
    </row>
    <row r="2973" spans="2:6" x14ac:dyDescent="0.25">
      <c r="B2973" s="18" t="s">
        <v>8</v>
      </c>
      <c r="C2973" s="19">
        <f>40195+(3*365)</f>
        <v>41290</v>
      </c>
      <c r="D2973" s="18" t="s">
        <v>81</v>
      </c>
      <c r="E2973" s="18" t="s">
        <v>61</v>
      </c>
      <c r="F2973" s="21">
        <v>2592</v>
      </c>
    </row>
    <row r="2974" spans="2:6" x14ac:dyDescent="0.25">
      <c r="B2974" s="18" t="s">
        <v>8</v>
      </c>
      <c r="C2974" s="19">
        <f>41019+(3*365)</f>
        <v>42114</v>
      </c>
      <c r="D2974" s="18" t="s">
        <v>77</v>
      </c>
      <c r="E2974" s="18" t="s">
        <v>75</v>
      </c>
      <c r="F2974" s="21">
        <v>448</v>
      </c>
    </row>
    <row r="2975" spans="2:6" x14ac:dyDescent="0.25">
      <c r="B2975" s="18" t="s">
        <v>9</v>
      </c>
      <c r="C2975" s="19">
        <f>40796+(3*365)</f>
        <v>41891</v>
      </c>
      <c r="D2975" s="18" t="s">
        <v>80</v>
      </c>
      <c r="E2975" s="18" t="s">
        <v>63</v>
      </c>
      <c r="F2975" s="21">
        <v>450</v>
      </c>
    </row>
    <row r="2976" spans="2:6" x14ac:dyDescent="0.25">
      <c r="B2976" s="18" t="s">
        <v>8</v>
      </c>
      <c r="C2976" s="19">
        <f>40393+(3*365)</f>
        <v>41488</v>
      </c>
      <c r="D2976" s="18" t="s">
        <v>77</v>
      </c>
      <c r="E2976" s="18" t="s">
        <v>59</v>
      </c>
      <c r="F2976" s="21">
        <v>1036</v>
      </c>
    </row>
    <row r="2977" spans="2:6" x14ac:dyDescent="0.25">
      <c r="B2977" s="18" t="s">
        <v>9</v>
      </c>
      <c r="C2977" s="19">
        <f>40927+(3*365)</f>
        <v>42022</v>
      </c>
      <c r="D2977" s="18" t="s">
        <v>62</v>
      </c>
      <c r="E2977" s="18" t="s">
        <v>59</v>
      </c>
      <c r="F2977" s="21">
        <v>168</v>
      </c>
    </row>
    <row r="2978" spans="2:6" x14ac:dyDescent="0.25">
      <c r="B2978" s="18" t="s">
        <v>21</v>
      </c>
      <c r="C2978" s="19">
        <f>39872+(3*365)</f>
        <v>40967</v>
      </c>
      <c r="D2978" s="18" t="s">
        <v>73</v>
      </c>
      <c r="E2978" s="18" t="s">
        <v>69</v>
      </c>
      <c r="F2978" s="21">
        <v>1200</v>
      </c>
    </row>
    <row r="2979" spans="2:6" x14ac:dyDescent="0.25">
      <c r="B2979" s="18" t="s">
        <v>11</v>
      </c>
      <c r="C2979" s="19">
        <f>40898+(3*365)</f>
        <v>41993</v>
      </c>
      <c r="D2979" s="18" t="s">
        <v>60</v>
      </c>
      <c r="E2979" s="18" t="s">
        <v>64</v>
      </c>
      <c r="F2979" s="21">
        <v>19062</v>
      </c>
    </row>
    <row r="2980" spans="2:6" x14ac:dyDescent="0.25">
      <c r="B2980" s="18" t="s">
        <v>9</v>
      </c>
      <c r="C2980" s="19">
        <f>41058+(3*365)</f>
        <v>42153</v>
      </c>
      <c r="D2980" s="18" t="s">
        <v>80</v>
      </c>
      <c r="E2980" s="18" t="s">
        <v>66</v>
      </c>
      <c r="F2980" s="21">
        <v>51</v>
      </c>
    </row>
    <row r="2981" spans="2:6" x14ac:dyDescent="0.25">
      <c r="B2981" s="18" t="s">
        <v>8</v>
      </c>
      <c r="C2981" s="19">
        <f>40873+(3*365)</f>
        <v>41968</v>
      </c>
      <c r="D2981" s="18" t="s">
        <v>81</v>
      </c>
      <c r="E2981" s="18" t="s">
        <v>66</v>
      </c>
      <c r="F2981" s="21">
        <v>344</v>
      </c>
    </row>
    <row r="2982" spans="2:6" x14ac:dyDescent="0.25">
      <c r="B2982" s="18" t="s">
        <v>31</v>
      </c>
      <c r="C2982" s="19">
        <f>40347+(3*365)</f>
        <v>41442</v>
      </c>
      <c r="D2982" s="18" t="s">
        <v>70</v>
      </c>
      <c r="E2982" s="18" t="s">
        <v>63</v>
      </c>
      <c r="F2982" s="21">
        <v>372</v>
      </c>
    </row>
    <row r="2983" spans="2:6" x14ac:dyDescent="0.25">
      <c r="B2983" s="18" t="s">
        <v>8</v>
      </c>
      <c r="C2983" s="19">
        <f>40989+(3*365)</f>
        <v>42084</v>
      </c>
      <c r="D2983" s="18" t="s">
        <v>77</v>
      </c>
      <c r="E2983" s="18" t="s">
        <v>72</v>
      </c>
      <c r="F2983" s="21">
        <v>2592</v>
      </c>
    </row>
    <row r="2984" spans="2:6" x14ac:dyDescent="0.25">
      <c r="B2984" s="18" t="s">
        <v>25</v>
      </c>
      <c r="C2984" s="19">
        <f>40226+(3*365)</f>
        <v>41321</v>
      </c>
      <c r="D2984" s="18" t="s">
        <v>78</v>
      </c>
      <c r="E2984" s="18" t="s">
        <v>59</v>
      </c>
      <c r="F2984" s="21">
        <v>153</v>
      </c>
    </row>
    <row r="2985" spans="2:6" x14ac:dyDescent="0.25">
      <c r="B2985" s="18" t="s">
        <v>9</v>
      </c>
      <c r="C2985" s="19">
        <f>40830+(3*365)</f>
        <v>41925</v>
      </c>
      <c r="D2985" s="18" t="s">
        <v>62</v>
      </c>
      <c r="E2985" s="18" t="s">
        <v>75</v>
      </c>
      <c r="F2985" s="21">
        <v>735</v>
      </c>
    </row>
    <row r="2986" spans="2:6" x14ac:dyDescent="0.25">
      <c r="B2986" s="18" t="s">
        <v>9</v>
      </c>
      <c r="C2986" s="19">
        <f>40539+(3*365)</f>
        <v>41634</v>
      </c>
      <c r="D2986" s="18" t="s">
        <v>80</v>
      </c>
      <c r="E2986" s="18" t="s">
        <v>64</v>
      </c>
      <c r="F2986" s="21">
        <v>6464</v>
      </c>
    </row>
    <row r="2987" spans="2:6" x14ac:dyDescent="0.25">
      <c r="B2987" s="18" t="s">
        <v>25</v>
      </c>
      <c r="C2987" s="19">
        <f>40274+(3*365)</f>
        <v>41369</v>
      </c>
      <c r="D2987" s="18" t="s">
        <v>78</v>
      </c>
      <c r="E2987" s="18" t="s">
        <v>69</v>
      </c>
      <c r="F2987" s="21">
        <v>312</v>
      </c>
    </row>
    <row r="2988" spans="2:6" x14ac:dyDescent="0.25">
      <c r="B2988" s="18" t="s">
        <v>21</v>
      </c>
      <c r="C2988" s="19">
        <f>40411+(3*365)</f>
        <v>41506</v>
      </c>
      <c r="D2988" s="18" t="s">
        <v>58</v>
      </c>
      <c r="E2988" s="18" t="s">
        <v>63</v>
      </c>
      <c r="F2988" s="21">
        <v>520</v>
      </c>
    </row>
    <row r="2989" spans="2:6" x14ac:dyDescent="0.25">
      <c r="B2989" s="18" t="s">
        <v>8</v>
      </c>
      <c r="C2989" s="19">
        <f>40362+(3*365)</f>
        <v>41457</v>
      </c>
      <c r="D2989" s="18" t="s">
        <v>77</v>
      </c>
      <c r="E2989" s="18" t="s">
        <v>69</v>
      </c>
      <c r="F2989" s="21">
        <v>3712</v>
      </c>
    </row>
    <row r="2990" spans="2:6" x14ac:dyDescent="0.25">
      <c r="B2990" s="18" t="s">
        <v>11</v>
      </c>
      <c r="C2990" s="19">
        <f>41123+(3*365)</f>
        <v>42218</v>
      </c>
      <c r="D2990" s="18" t="s">
        <v>60</v>
      </c>
      <c r="E2990" s="18" t="s">
        <v>66</v>
      </c>
      <c r="F2990" s="21">
        <v>600</v>
      </c>
    </row>
    <row r="2991" spans="2:6" x14ac:dyDescent="0.25">
      <c r="B2991" s="18" t="s">
        <v>8</v>
      </c>
      <c r="C2991" s="19">
        <f>39970+(3*365)</f>
        <v>41065</v>
      </c>
      <c r="D2991" s="18" t="s">
        <v>77</v>
      </c>
      <c r="E2991" s="18" t="s">
        <v>61</v>
      </c>
      <c r="F2991" s="21">
        <v>756</v>
      </c>
    </row>
    <row r="2992" spans="2:6" x14ac:dyDescent="0.25">
      <c r="B2992" s="18" t="s">
        <v>25</v>
      </c>
      <c r="C2992" s="19">
        <f>40775+(3*365)</f>
        <v>41870</v>
      </c>
      <c r="D2992" s="18" t="s">
        <v>78</v>
      </c>
      <c r="E2992" s="18" t="s">
        <v>66</v>
      </c>
      <c r="F2992" s="21">
        <v>1260</v>
      </c>
    </row>
    <row r="2993" spans="2:6" x14ac:dyDescent="0.25">
      <c r="B2993" s="18" t="s">
        <v>9</v>
      </c>
      <c r="C2993" s="19">
        <f>40279+(3*365)</f>
        <v>41374</v>
      </c>
      <c r="D2993" s="18" t="s">
        <v>80</v>
      </c>
      <c r="E2993" s="18" t="s">
        <v>64</v>
      </c>
      <c r="F2993" s="21">
        <v>3306</v>
      </c>
    </row>
    <row r="2994" spans="2:6" x14ac:dyDescent="0.25">
      <c r="B2994" s="18" t="s">
        <v>10</v>
      </c>
      <c r="C2994" s="19">
        <f>40896+(3*365)</f>
        <v>41991</v>
      </c>
      <c r="D2994" s="18" t="s">
        <v>67</v>
      </c>
      <c r="E2994" s="18" t="s">
        <v>64</v>
      </c>
      <c r="F2994" s="21">
        <v>6090</v>
      </c>
    </row>
    <row r="2995" spans="2:6" x14ac:dyDescent="0.25">
      <c r="B2995" s="18" t="s">
        <v>25</v>
      </c>
      <c r="C2995" s="19">
        <f>41014+(3*365)</f>
        <v>42109</v>
      </c>
      <c r="D2995" s="18" t="s">
        <v>79</v>
      </c>
      <c r="E2995" s="18" t="s">
        <v>69</v>
      </c>
      <c r="F2995" s="21">
        <v>1246</v>
      </c>
    </row>
    <row r="2996" spans="2:6" x14ac:dyDescent="0.25">
      <c r="B2996" s="18" t="s">
        <v>31</v>
      </c>
      <c r="C2996" s="19">
        <f>40299+(3*365)</f>
        <v>41394</v>
      </c>
      <c r="D2996" s="18" t="s">
        <v>76</v>
      </c>
      <c r="E2996" s="18" t="s">
        <v>69</v>
      </c>
      <c r="F2996" s="21">
        <v>1752</v>
      </c>
    </row>
    <row r="2997" spans="2:6" x14ac:dyDescent="0.25">
      <c r="B2997" s="18" t="s">
        <v>21</v>
      </c>
      <c r="C2997" s="19">
        <f>39949+(3*365)</f>
        <v>41044</v>
      </c>
      <c r="D2997" s="18" t="s">
        <v>73</v>
      </c>
      <c r="E2997" s="18" t="s">
        <v>64</v>
      </c>
      <c r="F2997" s="21">
        <v>1528</v>
      </c>
    </row>
    <row r="2998" spans="2:6" x14ac:dyDescent="0.25">
      <c r="B2998" s="18" t="s">
        <v>10</v>
      </c>
      <c r="C2998" s="19">
        <f>41176+(3*365)</f>
        <v>42271</v>
      </c>
      <c r="D2998" s="18" t="s">
        <v>67</v>
      </c>
      <c r="E2998" s="18" t="s">
        <v>69</v>
      </c>
      <c r="F2998" s="21">
        <v>4968</v>
      </c>
    </row>
    <row r="2999" spans="2:6" x14ac:dyDescent="0.25">
      <c r="B2999" s="18" t="s">
        <v>18</v>
      </c>
      <c r="C2999" s="19">
        <f>40049+(3*365)</f>
        <v>41144</v>
      </c>
      <c r="D2999" s="18" t="s">
        <v>71</v>
      </c>
      <c r="E2999" s="18" t="s">
        <v>61</v>
      </c>
      <c r="F2999" s="21">
        <v>188</v>
      </c>
    </row>
    <row r="3000" spans="2:6" x14ac:dyDescent="0.25">
      <c r="B3000" s="18" t="s">
        <v>10</v>
      </c>
      <c r="C3000" s="19">
        <f>39939+(3*365)</f>
        <v>41034</v>
      </c>
      <c r="D3000" s="18" t="s">
        <v>65</v>
      </c>
      <c r="E3000" s="18" t="s">
        <v>69</v>
      </c>
      <c r="F3000" s="21">
        <v>728</v>
      </c>
    </row>
    <row r="3001" spans="2:6" x14ac:dyDescent="0.25">
      <c r="B3001" s="18" t="s">
        <v>11</v>
      </c>
      <c r="C3001" s="19">
        <f>41198+(3*365)</f>
        <v>42293</v>
      </c>
      <c r="D3001" s="18" t="s">
        <v>60</v>
      </c>
      <c r="E3001" s="18" t="s">
        <v>66</v>
      </c>
      <c r="F3001" s="21">
        <v>760</v>
      </c>
    </row>
    <row r="3002" spans="2:6" x14ac:dyDescent="0.25">
      <c r="B3002" s="18" t="s">
        <v>18</v>
      </c>
      <c r="C3002" s="19">
        <f>39972+(3*365)</f>
        <v>41067</v>
      </c>
      <c r="D3002" s="18" t="s">
        <v>68</v>
      </c>
      <c r="E3002" s="18" t="s">
        <v>75</v>
      </c>
      <c r="F3002" s="21">
        <v>518</v>
      </c>
    </row>
    <row r="3003" spans="2:6" x14ac:dyDescent="0.25">
      <c r="B3003" s="18" t="s">
        <v>11</v>
      </c>
      <c r="C3003" s="19">
        <f>40272+(3*365)</f>
        <v>41367</v>
      </c>
      <c r="D3003" s="18" t="s">
        <v>74</v>
      </c>
      <c r="E3003" s="18" t="s">
        <v>59</v>
      </c>
      <c r="F3003" s="21">
        <v>345</v>
      </c>
    </row>
    <row r="3004" spans="2:6" x14ac:dyDescent="0.25">
      <c r="B3004" s="18" t="s">
        <v>8</v>
      </c>
      <c r="C3004" s="19">
        <f>41132+(3*365)</f>
        <v>42227</v>
      </c>
      <c r="D3004" s="18" t="s">
        <v>77</v>
      </c>
      <c r="E3004" s="18" t="s">
        <v>66</v>
      </c>
      <c r="F3004" s="21">
        <v>2052</v>
      </c>
    </row>
    <row r="3005" spans="2:6" x14ac:dyDescent="0.25">
      <c r="B3005" s="18" t="s">
        <v>18</v>
      </c>
      <c r="C3005" s="19">
        <f>41258+(3*365)</f>
        <v>42353</v>
      </c>
      <c r="D3005" s="18" t="s">
        <v>71</v>
      </c>
      <c r="E3005" s="18" t="s">
        <v>72</v>
      </c>
      <c r="F3005" s="21">
        <v>750</v>
      </c>
    </row>
  </sheetData>
  <pageMargins left="0.7" right="0.7" top="0.78740157499999996" bottom="0.78740157499999996" header="0.3" footer="0.3"/>
  <pageSetup paperSize="9" orientation="portrait" horizontalDpi="4294967295" verticalDpi="4294967295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G605"/>
  <sheetViews>
    <sheetView showGridLines="0" zoomScaleNormal="100" workbookViewId="0"/>
  </sheetViews>
  <sheetFormatPr baseColWidth="10" defaultRowHeight="15" x14ac:dyDescent="0.25"/>
  <cols>
    <col min="1" max="1" width="8.5703125" style="17" customWidth="1"/>
    <col min="2" max="2" width="12.7109375" style="17" customWidth="1"/>
    <col min="3" max="3" width="11.7109375" style="17" customWidth="1"/>
    <col min="4" max="4" width="15.7109375" style="17" customWidth="1"/>
    <col min="5" max="5" width="13.7109375" style="17" customWidth="1"/>
    <col min="6" max="6" width="16.7109375" style="17" customWidth="1"/>
    <col min="7" max="7" width="12.7109375" style="17" customWidth="1"/>
    <col min="8" max="8" width="19" style="17" bestFit="1" customWidth="1"/>
    <col min="9" max="16384" width="11.42578125" style="17"/>
  </cols>
  <sheetData>
    <row r="1" spans="1:7" ht="45" customHeight="1" x14ac:dyDescent="0.7">
      <c r="A1" s="4"/>
      <c r="B1" s="14" t="s">
        <v>35</v>
      </c>
    </row>
    <row r="2" spans="1:7" x14ac:dyDescent="0.25">
      <c r="B2" s="17" t="s">
        <v>49</v>
      </c>
    </row>
    <row r="5" spans="1:7" x14ac:dyDescent="0.25">
      <c r="B5" s="19" t="s">
        <v>7</v>
      </c>
      <c r="C5" s="18" t="s">
        <v>14</v>
      </c>
      <c r="D5" s="18" t="s">
        <v>12</v>
      </c>
      <c r="E5" s="18" t="s">
        <v>15</v>
      </c>
      <c r="F5" s="18" t="s">
        <v>16</v>
      </c>
      <c r="G5" s="18" t="s">
        <v>17</v>
      </c>
    </row>
    <row r="6" spans="1:7" x14ac:dyDescent="0.25">
      <c r="B6" s="19">
        <v>41442</v>
      </c>
      <c r="C6" s="20">
        <v>2</v>
      </c>
      <c r="D6" s="18" t="s">
        <v>11</v>
      </c>
      <c r="E6" s="18" t="s">
        <v>23</v>
      </c>
      <c r="F6" s="18" t="s">
        <v>27</v>
      </c>
      <c r="G6" s="21">
        <v>378.45</v>
      </c>
    </row>
    <row r="7" spans="1:7" x14ac:dyDescent="0.25">
      <c r="B7" s="19">
        <v>41786</v>
      </c>
      <c r="C7" s="20">
        <v>2</v>
      </c>
      <c r="D7" s="18" t="s">
        <v>25</v>
      </c>
      <c r="E7" s="18" t="s">
        <v>26</v>
      </c>
      <c r="F7" s="18" t="s">
        <v>24</v>
      </c>
      <c r="G7" s="21">
        <v>1810.38</v>
      </c>
    </row>
    <row r="8" spans="1:7" x14ac:dyDescent="0.25">
      <c r="B8" s="19">
        <v>41537</v>
      </c>
      <c r="C8" s="20">
        <v>3</v>
      </c>
      <c r="D8" s="18" t="s">
        <v>31</v>
      </c>
      <c r="E8" s="18" t="s">
        <v>28</v>
      </c>
      <c r="F8" s="18" t="s">
        <v>32</v>
      </c>
      <c r="G8" s="21">
        <v>1153.96</v>
      </c>
    </row>
    <row r="9" spans="1:7" x14ac:dyDescent="0.25">
      <c r="B9" s="19">
        <v>41317</v>
      </c>
      <c r="C9" s="20">
        <v>1</v>
      </c>
      <c r="D9" s="18" t="s">
        <v>25</v>
      </c>
      <c r="E9" s="18" t="s">
        <v>26</v>
      </c>
      <c r="F9" s="18" t="s">
        <v>30</v>
      </c>
      <c r="G9" s="21">
        <v>2083.9299999999998</v>
      </c>
    </row>
    <row r="10" spans="1:7" x14ac:dyDescent="0.25">
      <c r="B10" s="19">
        <v>41558</v>
      </c>
      <c r="C10" s="20">
        <v>4</v>
      </c>
      <c r="D10" s="18" t="s">
        <v>25</v>
      </c>
      <c r="E10" s="18" t="s">
        <v>26</v>
      </c>
      <c r="F10" s="18" t="s">
        <v>20</v>
      </c>
      <c r="G10" s="21">
        <v>627</v>
      </c>
    </row>
    <row r="11" spans="1:7" x14ac:dyDescent="0.25">
      <c r="B11" s="19">
        <v>41809</v>
      </c>
      <c r="C11" s="20">
        <v>2</v>
      </c>
      <c r="D11" s="18" t="s">
        <v>9</v>
      </c>
      <c r="E11" s="18" t="s">
        <v>26</v>
      </c>
      <c r="F11" s="18" t="s">
        <v>24</v>
      </c>
      <c r="G11" s="21">
        <v>442.77</v>
      </c>
    </row>
    <row r="12" spans="1:7" x14ac:dyDescent="0.25">
      <c r="B12" s="19">
        <v>42002</v>
      </c>
      <c r="C12" s="20">
        <v>4</v>
      </c>
      <c r="D12" s="18" t="s">
        <v>18</v>
      </c>
      <c r="E12" s="18" t="s">
        <v>19</v>
      </c>
      <c r="F12" s="18" t="s">
        <v>24</v>
      </c>
      <c r="G12" s="21">
        <v>1459.65</v>
      </c>
    </row>
    <row r="13" spans="1:7" x14ac:dyDescent="0.25">
      <c r="B13" s="19">
        <v>41438</v>
      </c>
      <c r="C13" s="20">
        <v>2</v>
      </c>
      <c r="D13" s="18" t="s">
        <v>25</v>
      </c>
      <c r="E13" s="18" t="s">
        <v>26</v>
      </c>
      <c r="F13" s="18" t="s">
        <v>24</v>
      </c>
      <c r="G13" s="21">
        <v>1073.18</v>
      </c>
    </row>
    <row r="14" spans="1:7" x14ac:dyDescent="0.25">
      <c r="B14" s="19">
        <v>41982</v>
      </c>
      <c r="C14" s="20">
        <v>4</v>
      </c>
      <c r="D14" s="18" t="s">
        <v>31</v>
      </c>
      <c r="E14" s="18" t="s">
        <v>28</v>
      </c>
      <c r="F14" s="18" t="s">
        <v>20</v>
      </c>
      <c r="G14" s="21">
        <v>706.03</v>
      </c>
    </row>
    <row r="15" spans="1:7" x14ac:dyDescent="0.25">
      <c r="B15" s="19">
        <v>41815</v>
      </c>
      <c r="C15" s="20">
        <v>2</v>
      </c>
      <c r="D15" s="18" t="s">
        <v>31</v>
      </c>
      <c r="E15" s="18" t="s">
        <v>28</v>
      </c>
      <c r="F15" s="18" t="s">
        <v>30</v>
      </c>
      <c r="G15" s="21">
        <v>1519.22</v>
      </c>
    </row>
    <row r="16" spans="1:7" x14ac:dyDescent="0.25">
      <c r="B16" s="19">
        <v>42001</v>
      </c>
      <c r="C16" s="20">
        <v>4</v>
      </c>
      <c r="D16" s="18" t="s">
        <v>10</v>
      </c>
      <c r="E16" s="18" t="s">
        <v>28</v>
      </c>
      <c r="F16" s="18" t="s">
        <v>27</v>
      </c>
      <c r="G16" s="21">
        <v>1217.73</v>
      </c>
    </row>
    <row r="17" spans="2:7" x14ac:dyDescent="0.25">
      <c r="B17" s="19">
        <v>41545</v>
      </c>
      <c r="C17" s="20">
        <v>3</v>
      </c>
      <c r="D17" s="18" t="s">
        <v>21</v>
      </c>
      <c r="E17" s="18" t="s">
        <v>19</v>
      </c>
      <c r="F17" s="18" t="s">
        <v>30</v>
      </c>
      <c r="G17" s="21">
        <v>2242.6</v>
      </c>
    </row>
    <row r="18" spans="2:7" x14ac:dyDescent="0.25">
      <c r="B18" s="19">
        <v>41718</v>
      </c>
      <c r="C18" s="20">
        <v>1</v>
      </c>
      <c r="D18" s="18" t="s">
        <v>21</v>
      </c>
      <c r="E18" s="18" t="s">
        <v>19</v>
      </c>
      <c r="F18" s="18" t="s">
        <v>27</v>
      </c>
      <c r="G18" s="21">
        <v>834.45</v>
      </c>
    </row>
    <row r="19" spans="2:7" x14ac:dyDescent="0.25">
      <c r="B19" s="19">
        <v>41801</v>
      </c>
      <c r="C19" s="20">
        <v>2</v>
      </c>
      <c r="D19" s="18" t="s">
        <v>10</v>
      </c>
      <c r="E19" s="18" t="s">
        <v>28</v>
      </c>
      <c r="F19" s="18" t="s">
        <v>22</v>
      </c>
      <c r="G19" s="21">
        <v>227.27</v>
      </c>
    </row>
    <row r="20" spans="2:7" x14ac:dyDescent="0.25">
      <c r="B20" s="19">
        <v>41971</v>
      </c>
      <c r="C20" s="20">
        <v>4</v>
      </c>
      <c r="D20" s="18" t="s">
        <v>21</v>
      </c>
      <c r="E20" s="18" t="s">
        <v>19</v>
      </c>
      <c r="F20" s="18" t="s">
        <v>24</v>
      </c>
      <c r="G20" s="21">
        <v>1625.66</v>
      </c>
    </row>
    <row r="21" spans="2:7" x14ac:dyDescent="0.25">
      <c r="B21" s="19">
        <v>41620</v>
      </c>
      <c r="C21" s="20">
        <v>4</v>
      </c>
      <c r="D21" s="18" t="s">
        <v>18</v>
      </c>
      <c r="E21" s="18" t="s">
        <v>19</v>
      </c>
      <c r="F21" s="18" t="s">
        <v>29</v>
      </c>
      <c r="G21" s="21">
        <v>1443.02</v>
      </c>
    </row>
    <row r="22" spans="2:7" x14ac:dyDescent="0.25">
      <c r="B22" s="19">
        <v>41787</v>
      </c>
      <c r="C22" s="20">
        <v>2</v>
      </c>
      <c r="D22" s="18" t="s">
        <v>31</v>
      </c>
      <c r="E22" s="18" t="s">
        <v>28</v>
      </c>
      <c r="F22" s="18" t="s">
        <v>27</v>
      </c>
      <c r="G22" s="21">
        <v>644.6</v>
      </c>
    </row>
    <row r="23" spans="2:7" x14ac:dyDescent="0.25">
      <c r="B23" s="19">
        <v>41823</v>
      </c>
      <c r="C23" s="20">
        <v>3</v>
      </c>
      <c r="D23" s="18" t="s">
        <v>31</v>
      </c>
      <c r="E23" s="18" t="s">
        <v>28</v>
      </c>
      <c r="F23" s="18" t="s">
        <v>24</v>
      </c>
      <c r="G23" s="21">
        <v>886.38</v>
      </c>
    </row>
    <row r="24" spans="2:7" x14ac:dyDescent="0.25">
      <c r="B24" s="19">
        <v>41746</v>
      </c>
      <c r="C24" s="20">
        <v>2</v>
      </c>
      <c r="D24" s="18" t="s">
        <v>8</v>
      </c>
      <c r="E24" s="18" t="s">
        <v>23</v>
      </c>
      <c r="F24" s="18" t="s">
        <v>27</v>
      </c>
      <c r="G24" s="21">
        <v>228.24</v>
      </c>
    </row>
    <row r="25" spans="2:7" x14ac:dyDescent="0.25">
      <c r="B25" s="19">
        <v>41906</v>
      </c>
      <c r="C25" s="20">
        <v>3</v>
      </c>
      <c r="D25" s="18" t="s">
        <v>9</v>
      </c>
      <c r="E25" s="18" t="s">
        <v>26</v>
      </c>
      <c r="F25" s="18" t="s">
        <v>24</v>
      </c>
      <c r="G25" s="21">
        <v>741.85</v>
      </c>
    </row>
    <row r="26" spans="2:7" x14ac:dyDescent="0.25">
      <c r="B26" s="19">
        <v>41728</v>
      </c>
      <c r="C26" s="20">
        <v>1</v>
      </c>
      <c r="D26" s="18" t="s">
        <v>18</v>
      </c>
      <c r="E26" s="18" t="s">
        <v>19</v>
      </c>
      <c r="F26" s="18" t="s">
        <v>33</v>
      </c>
      <c r="G26" s="21">
        <v>2201.5100000000002</v>
      </c>
    </row>
    <row r="27" spans="2:7" x14ac:dyDescent="0.25">
      <c r="B27" s="19">
        <v>41632</v>
      </c>
      <c r="C27" s="20">
        <v>4</v>
      </c>
      <c r="D27" s="18" t="s">
        <v>25</v>
      </c>
      <c r="E27" s="18" t="s">
        <v>26</v>
      </c>
      <c r="F27" s="18" t="s">
        <v>27</v>
      </c>
      <c r="G27" s="21">
        <v>1946.35</v>
      </c>
    </row>
    <row r="28" spans="2:7" x14ac:dyDescent="0.25">
      <c r="B28" s="19">
        <v>41884</v>
      </c>
      <c r="C28" s="20">
        <v>3</v>
      </c>
      <c r="D28" s="18" t="s">
        <v>8</v>
      </c>
      <c r="E28" s="18" t="s">
        <v>23</v>
      </c>
      <c r="F28" s="18" t="s">
        <v>32</v>
      </c>
      <c r="G28" s="21">
        <v>1450.11</v>
      </c>
    </row>
    <row r="29" spans="2:7" x14ac:dyDescent="0.25">
      <c r="B29" s="19">
        <v>41608</v>
      </c>
      <c r="C29" s="20">
        <v>4</v>
      </c>
      <c r="D29" s="18" t="s">
        <v>9</v>
      </c>
      <c r="E29" s="18" t="s">
        <v>26</v>
      </c>
      <c r="F29" s="18" t="s">
        <v>29</v>
      </c>
      <c r="G29" s="21">
        <v>2302.2399999999998</v>
      </c>
    </row>
    <row r="30" spans="2:7" x14ac:dyDescent="0.25">
      <c r="B30" s="19">
        <v>41488</v>
      </c>
      <c r="C30" s="20">
        <v>3</v>
      </c>
      <c r="D30" s="18" t="s">
        <v>18</v>
      </c>
      <c r="E30" s="18" t="s">
        <v>19</v>
      </c>
      <c r="F30" s="18" t="s">
        <v>22</v>
      </c>
      <c r="G30" s="21">
        <v>642.42999999999995</v>
      </c>
    </row>
    <row r="31" spans="2:7" x14ac:dyDescent="0.25">
      <c r="B31" s="19">
        <v>41691</v>
      </c>
      <c r="C31" s="20">
        <v>1</v>
      </c>
      <c r="D31" s="18" t="s">
        <v>18</v>
      </c>
      <c r="E31" s="18" t="s">
        <v>19</v>
      </c>
      <c r="F31" s="18" t="s">
        <v>24</v>
      </c>
      <c r="G31" s="21">
        <v>952.24</v>
      </c>
    </row>
    <row r="32" spans="2:7" x14ac:dyDescent="0.25">
      <c r="B32" s="19">
        <v>41988</v>
      </c>
      <c r="C32" s="20">
        <v>4</v>
      </c>
      <c r="D32" s="18" t="s">
        <v>31</v>
      </c>
      <c r="E32" s="18" t="s">
        <v>28</v>
      </c>
      <c r="F32" s="18" t="s">
        <v>27</v>
      </c>
      <c r="G32" s="21">
        <v>1591.12</v>
      </c>
    </row>
    <row r="33" spans="2:7" x14ac:dyDescent="0.25">
      <c r="B33" s="19">
        <v>41525</v>
      </c>
      <c r="C33" s="20">
        <v>3</v>
      </c>
      <c r="D33" s="18" t="s">
        <v>25</v>
      </c>
      <c r="E33" s="18" t="s">
        <v>26</v>
      </c>
      <c r="F33" s="18" t="s">
        <v>32</v>
      </c>
      <c r="G33" s="21">
        <v>218.06</v>
      </c>
    </row>
    <row r="34" spans="2:7" x14ac:dyDescent="0.25">
      <c r="B34" s="19">
        <v>41875</v>
      </c>
      <c r="C34" s="20">
        <v>3</v>
      </c>
      <c r="D34" s="18" t="s">
        <v>9</v>
      </c>
      <c r="E34" s="18" t="s">
        <v>26</v>
      </c>
      <c r="F34" s="18" t="s">
        <v>32</v>
      </c>
      <c r="G34" s="21">
        <v>347.19</v>
      </c>
    </row>
    <row r="35" spans="2:7" x14ac:dyDescent="0.25">
      <c r="B35" s="19">
        <v>41466</v>
      </c>
      <c r="C35" s="20">
        <v>3</v>
      </c>
      <c r="D35" s="18" t="s">
        <v>25</v>
      </c>
      <c r="E35" s="18" t="s">
        <v>26</v>
      </c>
      <c r="F35" s="18" t="s">
        <v>30</v>
      </c>
      <c r="G35" s="21">
        <v>1867</v>
      </c>
    </row>
    <row r="36" spans="2:7" x14ac:dyDescent="0.25">
      <c r="B36" s="19">
        <v>41443</v>
      </c>
      <c r="C36" s="20">
        <v>2</v>
      </c>
      <c r="D36" s="18" t="s">
        <v>25</v>
      </c>
      <c r="E36" s="18" t="s">
        <v>26</v>
      </c>
      <c r="F36" s="18" t="s">
        <v>20</v>
      </c>
      <c r="G36" s="21">
        <v>119.97</v>
      </c>
    </row>
    <row r="37" spans="2:7" x14ac:dyDescent="0.25">
      <c r="B37" s="19">
        <v>41913</v>
      </c>
      <c r="C37" s="20">
        <v>4</v>
      </c>
      <c r="D37" s="18" t="s">
        <v>9</v>
      </c>
      <c r="E37" s="18" t="s">
        <v>26</v>
      </c>
      <c r="F37" s="18" t="s">
        <v>29</v>
      </c>
      <c r="G37" s="21">
        <v>319.12</v>
      </c>
    </row>
    <row r="38" spans="2:7" x14ac:dyDescent="0.25">
      <c r="B38" s="19">
        <v>41951</v>
      </c>
      <c r="C38" s="20">
        <v>4</v>
      </c>
      <c r="D38" s="18" t="s">
        <v>8</v>
      </c>
      <c r="E38" s="18" t="s">
        <v>23</v>
      </c>
      <c r="F38" s="18" t="s">
        <v>27</v>
      </c>
      <c r="G38" s="21">
        <v>1301.71</v>
      </c>
    </row>
    <row r="39" spans="2:7" x14ac:dyDescent="0.25">
      <c r="B39" s="19">
        <v>41941</v>
      </c>
      <c r="C39" s="20">
        <v>4</v>
      </c>
      <c r="D39" s="18" t="s">
        <v>31</v>
      </c>
      <c r="E39" s="18" t="s">
        <v>28</v>
      </c>
      <c r="F39" s="18" t="s">
        <v>20</v>
      </c>
      <c r="G39" s="21">
        <v>229.14</v>
      </c>
    </row>
    <row r="40" spans="2:7" x14ac:dyDescent="0.25">
      <c r="B40" s="19">
        <v>41909</v>
      </c>
      <c r="C40" s="20">
        <v>3</v>
      </c>
      <c r="D40" s="18" t="s">
        <v>11</v>
      </c>
      <c r="E40" s="18" t="s">
        <v>23</v>
      </c>
      <c r="F40" s="18" t="s">
        <v>22</v>
      </c>
      <c r="G40" s="21">
        <v>389.25</v>
      </c>
    </row>
    <row r="41" spans="2:7" x14ac:dyDescent="0.25">
      <c r="B41" s="19">
        <v>41551</v>
      </c>
      <c r="C41" s="20">
        <v>4</v>
      </c>
      <c r="D41" s="18" t="s">
        <v>10</v>
      </c>
      <c r="E41" s="18" t="s">
        <v>28</v>
      </c>
      <c r="F41" s="18" t="s">
        <v>30</v>
      </c>
      <c r="G41" s="21">
        <v>1577.18</v>
      </c>
    </row>
    <row r="42" spans="2:7" x14ac:dyDescent="0.25">
      <c r="B42" s="19">
        <v>41341</v>
      </c>
      <c r="C42" s="20">
        <v>1</v>
      </c>
      <c r="D42" s="18" t="s">
        <v>18</v>
      </c>
      <c r="E42" s="18" t="s">
        <v>19</v>
      </c>
      <c r="F42" s="18" t="s">
        <v>29</v>
      </c>
      <c r="G42" s="21">
        <v>3028.88</v>
      </c>
    </row>
    <row r="43" spans="2:7" x14ac:dyDescent="0.25">
      <c r="B43" s="19">
        <v>41902</v>
      </c>
      <c r="C43" s="20">
        <v>3</v>
      </c>
      <c r="D43" s="18" t="s">
        <v>10</v>
      </c>
      <c r="E43" s="18" t="s">
        <v>28</v>
      </c>
      <c r="F43" s="18" t="s">
        <v>33</v>
      </c>
      <c r="G43" s="21">
        <v>2532.62</v>
      </c>
    </row>
    <row r="44" spans="2:7" x14ac:dyDescent="0.25">
      <c r="B44" s="19">
        <v>41363</v>
      </c>
      <c r="C44" s="20">
        <v>1</v>
      </c>
      <c r="D44" s="18" t="s">
        <v>25</v>
      </c>
      <c r="E44" s="18" t="s">
        <v>26</v>
      </c>
      <c r="F44" s="18" t="s">
        <v>20</v>
      </c>
      <c r="G44" s="21">
        <v>130.04</v>
      </c>
    </row>
    <row r="45" spans="2:7" x14ac:dyDescent="0.25">
      <c r="B45" s="19">
        <v>41387</v>
      </c>
      <c r="C45" s="20">
        <v>2</v>
      </c>
      <c r="D45" s="18" t="s">
        <v>31</v>
      </c>
      <c r="E45" s="18" t="s">
        <v>28</v>
      </c>
      <c r="F45" s="18" t="s">
        <v>30</v>
      </c>
      <c r="G45" s="21">
        <v>246.57</v>
      </c>
    </row>
    <row r="46" spans="2:7" x14ac:dyDescent="0.25">
      <c r="B46" s="19">
        <v>41783</v>
      </c>
      <c r="C46" s="20">
        <v>2</v>
      </c>
      <c r="D46" s="18" t="s">
        <v>25</v>
      </c>
      <c r="E46" s="18" t="s">
        <v>26</v>
      </c>
      <c r="F46" s="18" t="s">
        <v>30</v>
      </c>
      <c r="G46" s="21">
        <v>2850.7</v>
      </c>
    </row>
    <row r="47" spans="2:7" x14ac:dyDescent="0.25">
      <c r="B47" s="19">
        <v>41983</v>
      </c>
      <c r="C47" s="20">
        <v>4</v>
      </c>
      <c r="D47" s="18" t="s">
        <v>9</v>
      </c>
      <c r="E47" s="18" t="s">
        <v>26</v>
      </c>
      <c r="F47" s="18" t="s">
        <v>22</v>
      </c>
      <c r="G47" s="21">
        <v>615.6</v>
      </c>
    </row>
    <row r="48" spans="2:7" x14ac:dyDescent="0.25">
      <c r="B48" s="19">
        <v>41681</v>
      </c>
      <c r="C48" s="20">
        <v>1</v>
      </c>
      <c r="D48" s="18" t="s">
        <v>9</v>
      </c>
      <c r="E48" s="18" t="s">
        <v>26</v>
      </c>
      <c r="F48" s="18" t="s">
        <v>30</v>
      </c>
      <c r="G48" s="21">
        <v>2396.1799999999998</v>
      </c>
    </row>
    <row r="49" spans="2:7" x14ac:dyDescent="0.25">
      <c r="B49" s="19">
        <v>41816</v>
      </c>
      <c r="C49" s="20">
        <v>2</v>
      </c>
      <c r="D49" s="18" t="s">
        <v>10</v>
      </c>
      <c r="E49" s="18" t="s">
        <v>28</v>
      </c>
      <c r="F49" s="18" t="s">
        <v>30</v>
      </c>
      <c r="G49" s="21">
        <v>2408.0500000000002</v>
      </c>
    </row>
    <row r="50" spans="2:7" x14ac:dyDescent="0.25">
      <c r="B50" s="19">
        <v>41851</v>
      </c>
      <c r="C50" s="20">
        <v>3</v>
      </c>
      <c r="D50" s="18" t="s">
        <v>31</v>
      </c>
      <c r="E50" s="18" t="s">
        <v>28</v>
      </c>
      <c r="F50" s="18" t="s">
        <v>27</v>
      </c>
      <c r="G50" s="21">
        <v>1084.23</v>
      </c>
    </row>
    <row r="51" spans="2:7" x14ac:dyDescent="0.25">
      <c r="B51" s="19">
        <v>41558</v>
      </c>
      <c r="C51" s="20">
        <v>4</v>
      </c>
      <c r="D51" s="18" t="s">
        <v>21</v>
      </c>
      <c r="E51" s="18" t="s">
        <v>19</v>
      </c>
      <c r="F51" s="18" t="s">
        <v>30</v>
      </c>
      <c r="G51" s="21">
        <v>1504.43</v>
      </c>
    </row>
    <row r="52" spans="2:7" x14ac:dyDescent="0.25">
      <c r="B52" s="19">
        <v>41993</v>
      </c>
      <c r="C52" s="20">
        <v>4</v>
      </c>
      <c r="D52" s="18" t="s">
        <v>11</v>
      </c>
      <c r="E52" s="18" t="s">
        <v>23</v>
      </c>
      <c r="F52" s="18" t="s">
        <v>30</v>
      </c>
      <c r="G52" s="21">
        <v>1644.89</v>
      </c>
    </row>
    <row r="53" spans="2:7" x14ac:dyDescent="0.25">
      <c r="B53" s="19">
        <v>41555</v>
      </c>
      <c r="C53" s="20">
        <v>4</v>
      </c>
      <c r="D53" s="18" t="s">
        <v>9</v>
      </c>
      <c r="E53" s="18" t="s">
        <v>26</v>
      </c>
      <c r="F53" s="18" t="s">
        <v>30</v>
      </c>
      <c r="G53" s="21">
        <v>2209.9</v>
      </c>
    </row>
    <row r="54" spans="2:7" x14ac:dyDescent="0.25">
      <c r="B54" s="19">
        <v>41932</v>
      </c>
      <c r="C54" s="20">
        <v>4</v>
      </c>
      <c r="D54" s="18" t="s">
        <v>31</v>
      </c>
      <c r="E54" s="18" t="s">
        <v>28</v>
      </c>
      <c r="F54" s="18" t="s">
        <v>32</v>
      </c>
      <c r="G54" s="21">
        <v>817.91</v>
      </c>
    </row>
    <row r="55" spans="2:7" x14ac:dyDescent="0.25">
      <c r="B55" s="19">
        <v>41501</v>
      </c>
      <c r="C55" s="20">
        <v>3</v>
      </c>
      <c r="D55" s="18" t="s">
        <v>11</v>
      </c>
      <c r="E55" s="18" t="s">
        <v>23</v>
      </c>
      <c r="F55" s="18" t="s">
        <v>32</v>
      </c>
      <c r="G55" s="21">
        <v>572.27</v>
      </c>
    </row>
    <row r="56" spans="2:7" x14ac:dyDescent="0.25">
      <c r="B56" s="19">
        <v>41704</v>
      </c>
      <c r="C56" s="20">
        <v>1</v>
      </c>
      <c r="D56" s="18" t="s">
        <v>21</v>
      </c>
      <c r="E56" s="18" t="s">
        <v>19</v>
      </c>
      <c r="F56" s="18" t="s">
        <v>30</v>
      </c>
      <c r="G56" s="21">
        <v>1003.37</v>
      </c>
    </row>
    <row r="57" spans="2:7" x14ac:dyDescent="0.25">
      <c r="B57" s="19">
        <v>41753</v>
      </c>
      <c r="C57" s="20">
        <v>2</v>
      </c>
      <c r="D57" s="18" t="s">
        <v>18</v>
      </c>
      <c r="E57" s="18" t="s">
        <v>19</v>
      </c>
      <c r="F57" s="18" t="s">
        <v>29</v>
      </c>
      <c r="G57" s="21">
        <v>3792.66</v>
      </c>
    </row>
    <row r="58" spans="2:7" x14ac:dyDescent="0.25">
      <c r="B58" s="19">
        <v>41422</v>
      </c>
      <c r="C58" s="20">
        <v>2</v>
      </c>
      <c r="D58" s="18" t="s">
        <v>8</v>
      </c>
      <c r="E58" s="18" t="s">
        <v>23</v>
      </c>
      <c r="F58" s="18" t="s">
        <v>30</v>
      </c>
      <c r="G58" s="21">
        <v>2233.02</v>
      </c>
    </row>
    <row r="59" spans="2:7" x14ac:dyDescent="0.25">
      <c r="B59" s="19">
        <v>41531</v>
      </c>
      <c r="C59" s="20">
        <v>3</v>
      </c>
      <c r="D59" s="18" t="s">
        <v>21</v>
      </c>
      <c r="E59" s="18" t="s">
        <v>19</v>
      </c>
      <c r="F59" s="18" t="s">
        <v>20</v>
      </c>
      <c r="G59" s="21">
        <v>439.26</v>
      </c>
    </row>
    <row r="60" spans="2:7" x14ac:dyDescent="0.25">
      <c r="B60" s="19">
        <v>41678</v>
      </c>
      <c r="C60" s="20">
        <v>1</v>
      </c>
      <c r="D60" s="18" t="s">
        <v>25</v>
      </c>
      <c r="E60" s="18" t="s">
        <v>26</v>
      </c>
      <c r="F60" s="18" t="s">
        <v>30</v>
      </c>
      <c r="G60" s="21">
        <v>1676.77</v>
      </c>
    </row>
    <row r="61" spans="2:7" x14ac:dyDescent="0.25">
      <c r="B61" s="19">
        <v>41802</v>
      </c>
      <c r="C61" s="20">
        <v>2</v>
      </c>
      <c r="D61" s="18" t="s">
        <v>21</v>
      </c>
      <c r="E61" s="18" t="s">
        <v>19</v>
      </c>
      <c r="F61" s="18" t="s">
        <v>32</v>
      </c>
      <c r="G61" s="21">
        <v>911.51</v>
      </c>
    </row>
    <row r="62" spans="2:7" x14ac:dyDescent="0.25">
      <c r="B62" s="19">
        <v>41448</v>
      </c>
      <c r="C62" s="20">
        <v>2</v>
      </c>
      <c r="D62" s="18" t="s">
        <v>11</v>
      </c>
      <c r="E62" s="18" t="s">
        <v>23</v>
      </c>
      <c r="F62" s="18" t="s">
        <v>30</v>
      </c>
      <c r="G62" s="21">
        <v>2381.4899999999998</v>
      </c>
    </row>
    <row r="63" spans="2:7" x14ac:dyDescent="0.25">
      <c r="B63" s="19">
        <v>41392</v>
      </c>
      <c r="C63" s="20">
        <v>2</v>
      </c>
      <c r="D63" s="18" t="s">
        <v>31</v>
      </c>
      <c r="E63" s="18" t="s">
        <v>28</v>
      </c>
      <c r="F63" s="18" t="s">
        <v>27</v>
      </c>
      <c r="G63" s="21">
        <v>449.38</v>
      </c>
    </row>
    <row r="64" spans="2:7" x14ac:dyDescent="0.25">
      <c r="B64" s="19">
        <v>41454</v>
      </c>
      <c r="C64" s="20">
        <v>2</v>
      </c>
      <c r="D64" s="18" t="s">
        <v>8</v>
      </c>
      <c r="E64" s="18" t="s">
        <v>23</v>
      </c>
      <c r="F64" s="18" t="s">
        <v>29</v>
      </c>
      <c r="G64" s="21">
        <v>3206.5</v>
      </c>
    </row>
    <row r="65" spans="2:7" x14ac:dyDescent="0.25">
      <c r="B65" s="19">
        <v>41922</v>
      </c>
      <c r="C65" s="20">
        <v>4</v>
      </c>
      <c r="D65" s="18" t="s">
        <v>25</v>
      </c>
      <c r="E65" s="18" t="s">
        <v>26</v>
      </c>
      <c r="F65" s="18" t="s">
        <v>30</v>
      </c>
      <c r="G65" s="21">
        <v>1693.69</v>
      </c>
    </row>
    <row r="66" spans="2:7" x14ac:dyDescent="0.25">
      <c r="B66" s="19">
        <v>41613</v>
      </c>
      <c r="C66" s="20">
        <v>4</v>
      </c>
      <c r="D66" s="18" t="s">
        <v>21</v>
      </c>
      <c r="E66" s="18" t="s">
        <v>19</v>
      </c>
      <c r="F66" s="18" t="s">
        <v>32</v>
      </c>
      <c r="G66" s="21">
        <v>1957.73</v>
      </c>
    </row>
    <row r="67" spans="2:7" x14ac:dyDescent="0.25">
      <c r="B67" s="19">
        <v>41618</v>
      </c>
      <c r="C67" s="20">
        <v>4</v>
      </c>
      <c r="D67" s="18" t="s">
        <v>8</v>
      </c>
      <c r="E67" s="18" t="s">
        <v>23</v>
      </c>
      <c r="F67" s="18" t="s">
        <v>24</v>
      </c>
      <c r="G67" s="21">
        <v>1290.67</v>
      </c>
    </row>
    <row r="68" spans="2:7" x14ac:dyDescent="0.25">
      <c r="B68" s="19">
        <v>41284</v>
      </c>
      <c r="C68" s="20">
        <v>1</v>
      </c>
      <c r="D68" s="18" t="s">
        <v>18</v>
      </c>
      <c r="E68" s="18" t="s">
        <v>19</v>
      </c>
      <c r="F68" s="18" t="s">
        <v>32</v>
      </c>
      <c r="G68" s="21">
        <v>1907</v>
      </c>
    </row>
    <row r="69" spans="2:7" x14ac:dyDescent="0.25">
      <c r="B69" s="19">
        <v>41342</v>
      </c>
      <c r="C69" s="20">
        <v>1</v>
      </c>
      <c r="D69" s="18" t="s">
        <v>21</v>
      </c>
      <c r="E69" s="18" t="s">
        <v>19</v>
      </c>
      <c r="F69" s="18" t="s">
        <v>30</v>
      </c>
      <c r="G69" s="21">
        <v>1158.8699999999999</v>
      </c>
    </row>
    <row r="70" spans="2:7" x14ac:dyDescent="0.25">
      <c r="B70" s="19">
        <v>41581</v>
      </c>
      <c r="C70" s="20">
        <v>4</v>
      </c>
      <c r="D70" s="18" t="s">
        <v>9</v>
      </c>
      <c r="E70" s="18" t="s">
        <v>26</v>
      </c>
      <c r="F70" s="18" t="s">
        <v>30</v>
      </c>
      <c r="G70" s="21">
        <v>2807.97</v>
      </c>
    </row>
    <row r="71" spans="2:7" x14ac:dyDescent="0.25">
      <c r="B71" s="19">
        <v>41277</v>
      </c>
      <c r="C71" s="20">
        <v>1</v>
      </c>
      <c r="D71" s="18" t="s">
        <v>11</v>
      </c>
      <c r="E71" s="18" t="s">
        <v>23</v>
      </c>
      <c r="F71" s="18" t="s">
        <v>29</v>
      </c>
      <c r="G71" s="21">
        <v>1073.46</v>
      </c>
    </row>
    <row r="72" spans="2:7" x14ac:dyDescent="0.25">
      <c r="B72" s="19">
        <v>41804</v>
      </c>
      <c r="C72" s="20">
        <v>2</v>
      </c>
      <c r="D72" s="18" t="s">
        <v>21</v>
      </c>
      <c r="E72" s="18" t="s">
        <v>19</v>
      </c>
      <c r="F72" s="18" t="s">
        <v>20</v>
      </c>
      <c r="G72" s="21">
        <v>622.66999999999996</v>
      </c>
    </row>
    <row r="73" spans="2:7" x14ac:dyDescent="0.25">
      <c r="B73" s="19">
        <v>41972</v>
      </c>
      <c r="C73" s="20">
        <v>4</v>
      </c>
      <c r="D73" s="18" t="s">
        <v>8</v>
      </c>
      <c r="E73" s="18" t="s">
        <v>23</v>
      </c>
      <c r="F73" s="18" t="s">
        <v>29</v>
      </c>
      <c r="G73" s="21">
        <v>2629.12</v>
      </c>
    </row>
    <row r="74" spans="2:7" x14ac:dyDescent="0.25">
      <c r="B74" s="19">
        <v>41853</v>
      </c>
      <c r="C74" s="20">
        <v>3</v>
      </c>
      <c r="D74" s="18" t="s">
        <v>18</v>
      </c>
      <c r="E74" s="18" t="s">
        <v>19</v>
      </c>
      <c r="F74" s="18" t="s">
        <v>33</v>
      </c>
      <c r="G74" s="21">
        <v>2731.82</v>
      </c>
    </row>
    <row r="75" spans="2:7" x14ac:dyDescent="0.25">
      <c r="B75" s="19">
        <v>41639</v>
      </c>
      <c r="C75" s="20">
        <v>4</v>
      </c>
      <c r="D75" s="18" t="s">
        <v>21</v>
      </c>
      <c r="E75" s="18" t="s">
        <v>19</v>
      </c>
      <c r="F75" s="18" t="s">
        <v>32</v>
      </c>
      <c r="G75" s="21">
        <v>1519.23</v>
      </c>
    </row>
    <row r="76" spans="2:7" x14ac:dyDescent="0.25">
      <c r="B76" s="19">
        <v>41586</v>
      </c>
      <c r="C76" s="20">
        <v>4</v>
      </c>
      <c r="D76" s="18" t="s">
        <v>25</v>
      </c>
      <c r="E76" s="18" t="s">
        <v>26</v>
      </c>
      <c r="F76" s="18" t="s">
        <v>27</v>
      </c>
      <c r="G76" s="21">
        <v>995.56</v>
      </c>
    </row>
    <row r="77" spans="2:7" x14ac:dyDescent="0.25">
      <c r="B77" s="19">
        <v>41793</v>
      </c>
      <c r="C77" s="20">
        <v>2</v>
      </c>
      <c r="D77" s="18" t="s">
        <v>31</v>
      </c>
      <c r="E77" s="18" t="s">
        <v>28</v>
      </c>
      <c r="F77" s="18" t="s">
        <v>24</v>
      </c>
      <c r="G77" s="21">
        <v>914.54</v>
      </c>
    </row>
    <row r="78" spans="2:7" x14ac:dyDescent="0.25">
      <c r="B78" s="19">
        <v>41826</v>
      </c>
      <c r="C78" s="20">
        <v>3</v>
      </c>
      <c r="D78" s="18" t="s">
        <v>10</v>
      </c>
      <c r="E78" s="18" t="s">
        <v>28</v>
      </c>
      <c r="F78" s="18" t="s">
        <v>27</v>
      </c>
      <c r="G78" s="21">
        <v>1951.9</v>
      </c>
    </row>
    <row r="79" spans="2:7" x14ac:dyDescent="0.25">
      <c r="B79" s="19">
        <v>41429</v>
      </c>
      <c r="C79" s="20">
        <v>2</v>
      </c>
      <c r="D79" s="18" t="s">
        <v>10</v>
      </c>
      <c r="E79" s="18" t="s">
        <v>28</v>
      </c>
      <c r="F79" s="18" t="s">
        <v>22</v>
      </c>
      <c r="G79" s="21">
        <v>806.53</v>
      </c>
    </row>
    <row r="80" spans="2:7" x14ac:dyDescent="0.25">
      <c r="B80" s="19">
        <v>41617</v>
      </c>
      <c r="C80" s="20">
        <v>4</v>
      </c>
      <c r="D80" s="18" t="s">
        <v>10</v>
      </c>
      <c r="E80" s="18" t="s">
        <v>28</v>
      </c>
      <c r="F80" s="18" t="s">
        <v>24</v>
      </c>
      <c r="G80" s="21">
        <v>1243.1500000000001</v>
      </c>
    </row>
    <row r="81" spans="2:7" x14ac:dyDescent="0.25">
      <c r="B81" s="19">
        <v>41826</v>
      </c>
      <c r="C81" s="20">
        <v>3</v>
      </c>
      <c r="D81" s="18" t="s">
        <v>8</v>
      </c>
      <c r="E81" s="18" t="s">
        <v>23</v>
      </c>
      <c r="F81" s="18" t="s">
        <v>22</v>
      </c>
      <c r="G81" s="21">
        <v>1781.22</v>
      </c>
    </row>
    <row r="82" spans="2:7" x14ac:dyDescent="0.25">
      <c r="B82" s="19">
        <v>41935</v>
      </c>
      <c r="C82" s="20">
        <v>4</v>
      </c>
      <c r="D82" s="18" t="s">
        <v>10</v>
      </c>
      <c r="E82" s="18" t="s">
        <v>28</v>
      </c>
      <c r="F82" s="18" t="s">
        <v>22</v>
      </c>
      <c r="G82" s="21">
        <v>1593.28</v>
      </c>
    </row>
    <row r="83" spans="2:7" x14ac:dyDescent="0.25">
      <c r="B83" s="19">
        <v>41291</v>
      </c>
      <c r="C83" s="20">
        <v>1</v>
      </c>
      <c r="D83" s="18" t="s">
        <v>31</v>
      </c>
      <c r="E83" s="18" t="s">
        <v>28</v>
      </c>
      <c r="F83" s="18" t="s">
        <v>33</v>
      </c>
      <c r="G83" s="21">
        <v>2526.54</v>
      </c>
    </row>
    <row r="84" spans="2:7" x14ac:dyDescent="0.25">
      <c r="B84" s="19">
        <v>41577</v>
      </c>
      <c r="C84" s="20">
        <v>4</v>
      </c>
      <c r="D84" s="18" t="s">
        <v>11</v>
      </c>
      <c r="E84" s="18" t="s">
        <v>23</v>
      </c>
      <c r="F84" s="18" t="s">
        <v>33</v>
      </c>
      <c r="G84" s="21">
        <v>818.46</v>
      </c>
    </row>
    <row r="85" spans="2:7" x14ac:dyDescent="0.25">
      <c r="B85" s="19">
        <v>41614</v>
      </c>
      <c r="C85" s="20">
        <v>4</v>
      </c>
      <c r="D85" s="18" t="s">
        <v>18</v>
      </c>
      <c r="E85" s="18" t="s">
        <v>19</v>
      </c>
      <c r="F85" s="18" t="s">
        <v>24</v>
      </c>
      <c r="G85" s="21">
        <v>1143.33</v>
      </c>
    </row>
    <row r="86" spans="2:7" x14ac:dyDescent="0.25">
      <c r="B86" s="19">
        <v>41708</v>
      </c>
      <c r="C86" s="20">
        <v>1</v>
      </c>
      <c r="D86" s="18" t="s">
        <v>31</v>
      </c>
      <c r="E86" s="18" t="s">
        <v>28</v>
      </c>
      <c r="F86" s="18" t="s">
        <v>29</v>
      </c>
      <c r="G86" s="21">
        <v>218.88</v>
      </c>
    </row>
    <row r="87" spans="2:7" x14ac:dyDescent="0.25">
      <c r="B87" s="19">
        <v>41629</v>
      </c>
      <c r="C87" s="20">
        <v>4</v>
      </c>
      <c r="D87" s="18" t="s">
        <v>25</v>
      </c>
      <c r="E87" s="18" t="s">
        <v>26</v>
      </c>
      <c r="F87" s="18" t="s">
        <v>33</v>
      </c>
      <c r="G87" s="21">
        <v>1999.73</v>
      </c>
    </row>
    <row r="88" spans="2:7" x14ac:dyDescent="0.25">
      <c r="B88" s="19">
        <v>41957</v>
      </c>
      <c r="C88" s="20">
        <v>4</v>
      </c>
      <c r="D88" s="18" t="s">
        <v>18</v>
      </c>
      <c r="E88" s="18" t="s">
        <v>19</v>
      </c>
      <c r="F88" s="18" t="s">
        <v>30</v>
      </c>
      <c r="G88" s="21">
        <v>2526.25</v>
      </c>
    </row>
    <row r="89" spans="2:7" x14ac:dyDescent="0.25">
      <c r="B89" s="19">
        <v>41341</v>
      </c>
      <c r="C89" s="20">
        <v>1</v>
      </c>
      <c r="D89" s="18" t="s">
        <v>18</v>
      </c>
      <c r="E89" s="18" t="s">
        <v>19</v>
      </c>
      <c r="F89" s="18" t="s">
        <v>32</v>
      </c>
      <c r="G89" s="21">
        <v>1720.81</v>
      </c>
    </row>
    <row r="90" spans="2:7" x14ac:dyDescent="0.25">
      <c r="B90" s="19">
        <v>41875</v>
      </c>
      <c r="C90" s="20">
        <v>3</v>
      </c>
      <c r="D90" s="18" t="s">
        <v>31</v>
      </c>
      <c r="E90" s="18" t="s">
        <v>28</v>
      </c>
      <c r="F90" s="18" t="s">
        <v>30</v>
      </c>
      <c r="G90" s="21">
        <v>1091.58</v>
      </c>
    </row>
    <row r="91" spans="2:7" x14ac:dyDescent="0.25">
      <c r="B91" s="19">
        <v>41400</v>
      </c>
      <c r="C91" s="20">
        <v>2</v>
      </c>
      <c r="D91" s="18" t="s">
        <v>10</v>
      </c>
      <c r="E91" s="18" t="s">
        <v>28</v>
      </c>
      <c r="F91" s="18" t="s">
        <v>22</v>
      </c>
      <c r="G91" s="21">
        <v>724.91</v>
      </c>
    </row>
    <row r="92" spans="2:7" x14ac:dyDescent="0.25">
      <c r="B92" s="19">
        <v>41295</v>
      </c>
      <c r="C92" s="20">
        <v>1</v>
      </c>
      <c r="D92" s="18" t="s">
        <v>31</v>
      </c>
      <c r="E92" s="18" t="s">
        <v>28</v>
      </c>
      <c r="F92" s="18" t="s">
        <v>32</v>
      </c>
      <c r="G92" s="21">
        <v>866.09</v>
      </c>
    </row>
    <row r="93" spans="2:7" x14ac:dyDescent="0.25">
      <c r="B93" s="19">
        <v>41473</v>
      </c>
      <c r="C93" s="20">
        <v>3</v>
      </c>
      <c r="D93" s="18" t="s">
        <v>31</v>
      </c>
      <c r="E93" s="18" t="s">
        <v>28</v>
      </c>
      <c r="F93" s="18" t="s">
        <v>33</v>
      </c>
      <c r="G93" s="21">
        <v>1722.87</v>
      </c>
    </row>
    <row r="94" spans="2:7" x14ac:dyDescent="0.25">
      <c r="B94" s="19">
        <v>41911</v>
      </c>
      <c r="C94" s="20">
        <v>3</v>
      </c>
      <c r="D94" s="18" t="s">
        <v>21</v>
      </c>
      <c r="E94" s="18" t="s">
        <v>19</v>
      </c>
      <c r="F94" s="18" t="s">
        <v>22</v>
      </c>
      <c r="G94" s="21">
        <v>1773.4</v>
      </c>
    </row>
    <row r="95" spans="2:7" x14ac:dyDescent="0.25">
      <c r="B95" s="19">
        <v>41321</v>
      </c>
      <c r="C95" s="20">
        <v>1</v>
      </c>
      <c r="D95" s="18" t="s">
        <v>8</v>
      </c>
      <c r="E95" s="18" t="s">
        <v>23</v>
      </c>
      <c r="F95" s="18" t="s">
        <v>20</v>
      </c>
      <c r="G95" s="21">
        <v>767.04</v>
      </c>
    </row>
    <row r="96" spans="2:7" x14ac:dyDescent="0.25">
      <c r="B96" s="19">
        <v>41650</v>
      </c>
      <c r="C96" s="20">
        <v>1</v>
      </c>
      <c r="D96" s="18" t="s">
        <v>8</v>
      </c>
      <c r="E96" s="18" t="s">
        <v>23</v>
      </c>
      <c r="F96" s="18" t="s">
        <v>29</v>
      </c>
      <c r="G96" s="21">
        <v>812.06</v>
      </c>
    </row>
    <row r="97" spans="2:7" x14ac:dyDescent="0.25">
      <c r="B97" s="19">
        <v>41418</v>
      </c>
      <c r="C97" s="20">
        <v>2</v>
      </c>
      <c r="D97" s="18" t="s">
        <v>10</v>
      </c>
      <c r="E97" s="18" t="s">
        <v>28</v>
      </c>
      <c r="F97" s="18" t="s">
        <v>20</v>
      </c>
      <c r="G97" s="21">
        <v>370</v>
      </c>
    </row>
    <row r="98" spans="2:7" x14ac:dyDescent="0.25">
      <c r="B98" s="19">
        <v>41651</v>
      </c>
      <c r="C98" s="20">
        <v>1</v>
      </c>
      <c r="D98" s="18" t="s">
        <v>10</v>
      </c>
      <c r="E98" s="18" t="s">
        <v>28</v>
      </c>
      <c r="F98" s="18" t="s">
        <v>32</v>
      </c>
      <c r="G98" s="21">
        <v>1905.4</v>
      </c>
    </row>
    <row r="99" spans="2:7" x14ac:dyDescent="0.25">
      <c r="B99" s="19">
        <v>41402</v>
      </c>
      <c r="C99" s="20">
        <v>2</v>
      </c>
      <c r="D99" s="18" t="s">
        <v>31</v>
      </c>
      <c r="E99" s="18" t="s">
        <v>28</v>
      </c>
      <c r="F99" s="18" t="s">
        <v>29</v>
      </c>
      <c r="G99" s="21">
        <v>377.44</v>
      </c>
    </row>
    <row r="100" spans="2:7" x14ac:dyDescent="0.25">
      <c r="B100" s="19">
        <v>41864</v>
      </c>
      <c r="C100" s="20">
        <v>3</v>
      </c>
      <c r="D100" s="18" t="s">
        <v>8</v>
      </c>
      <c r="E100" s="18" t="s">
        <v>23</v>
      </c>
      <c r="F100" s="18" t="s">
        <v>24</v>
      </c>
      <c r="G100" s="21">
        <v>1669.18</v>
      </c>
    </row>
    <row r="101" spans="2:7" x14ac:dyDescent="0.25">
      <c r="B101" s="19">
        <v>41906</v>
      </c>
      <c r="C101" s="20">
        <v>3</v>
      </c>
      <c r="D101" s="18" t="s">
        <v>18</v>
      </c>
      <c r="E101" s="18" t="s">
        <v>19</v>
      </c>
      <c r="F101" s="18" t="s">
        <v>22</v>
      </c>
      <c r="G101" s="21">
        <v>1868.6</v>
      </c>
    </row>
    <row r="102" spans="2:7" x14ac:dyDescent="0.25">
      <c r="B102" s="19">
        <v>41921</v>
      </c>
      <c r="C102" s="20">
        <v>4</v>
      </c>
      <c r="D102" s="18" t="s">
        <v>25</v>
      </c>
      <c r="E102" s="18" t="s">
        <v>26</v>
      </c>
      <c r="F102" s="18" t="s">
        <v>27</v>
      </c>
      <c r="G102" s="21">
        <v>1921.91</v>
      </c>
    </row>
    <row r="103" spans="2:7" x14ac:dyDescent="0.25">
      <c r="B103" s="19">
        <v>41742</v>
      </c>
      <c r="C103" s="20">
        <v>2</v>
      </c>
      <c r="D103" s="18" t="s">
        <v>21</v>
      </c>
      <c r="E103" s="18" t="s">
        <v>19</v>
      </c>
      <c r="F103" s="18" t="s">
        <v>30</v>
      </c>
      <c r="G103" s="21">
        <v>2120.23</v>
      </c>
    </row>
    <row r="104" spans="2:7" x14ac:dyDescent="0.25">
      <c r="B104" s="19">
        <v>41498</v>
      </c>
      <c r="C104" s="20">
        <v>3</v>
      </c>
      <c r="D104" s="18" t="s">
        <v>9</v>
      </c>
      <c r="E104" s="18" t="s">
        <v>26</v>
      </c>
      <c r="F104" s="18" t="s">
        <v>27</v>
      </c>
      <c r="G104" s="21">
        <v>584.02</v>
      </c>
    </row>
    <row r="105" spans="2:7" x14ac:dyDescent="0.25">
      <c r="B105" s="19">
        <v>41968</v>
      </c>
      <c r="C105" s="20">
        <v>4</v>
      </c>
      <c r="D105" s="18" t="s">
        <v>11</v>
      </c>
      <c r="E105" s="18" t="s">
        <v>23</v>
      </c>
      <c r="F105" s="18" t="s">
        <v>20</v>
      </c>
      <c r="G105" s="21">
        <v>778.02</v>
      </c>
    </row>
    <row r="106" spans="2:7" x14ac:dyDescent="0.25">
      <c r="B106" s="19">
        <v>41317</v>
      </c>
      <c r="C106" s="20">
        <v>1</v>
      </c>
      <c r="D106" s="18" t="s">
        <v>8</v>
      </c>
      <c r="E106" s="18" t="s">
        <v>23</v>
      </c>
      <c r="F106" s="18" t="s">
        <v>30</v>
      </c>
      <c r="G106" s="21">
        <v>1965.43</v>
      </c>
    </row>
    <row r="107" spans="2:7" x14ac:dyDescent="0.25">
      <c r="B107" s="19">
        <v>41847</v>
      </c>
      <c r="C107" s="20">
        <v>3</v>
      </c>
      <c r="D107" s="18" t="s">
        <v>9</v>
      </c>
      <c r="E107" s="18" t="s">
        <v>26</v>
      </c>
      <c r="F107" s="18" t="s">
        <v>29</v>
      </c>
      <c r="G107" s="21">
        <v>1354.8</v>
      </c>
    </row>
    <row r="108" spans="2:7" x14ac:dyDescent="0.25">
      <c r="B108" s="19">
        <v>41757</v>
      </c>
      <c r="C108" s="20">
        <v>2</v>
      </c>
      <c r="D108" s="18" t="s">
        <v>21</v>
      </c>
      <c r="E108" s="18" t="s">
        <v>19</v>
      </c>
      <c r="F108" s="18" t="s">
        <v>32</v>
      </c>
      <c r="G108" s="21">
        <v>439.05</v>
      </c>
    </row>
    <row r="109" spans="2:7" x14ac:dyDescent="0.25">
      <c r="B109" s="19">
        <v>41563</v>
      </c>
      <c r="C109" s="20">
        <v>4</v>
      </c>
      <c r="D109" s="18" t="s">
        <v>18</v>
      </c>
      <c r="E109" s="18" t="s">
        <v>19</v>
      </c>
      <c r="F109" s="18" t="s">
        <v>20</v>
      </c>
      <c r="G109" s="21">
        <v>434.17</v>
      </c>
    </row>
    <row r="110" spans="2:7" x14ac:dyDescent="0.25">
      <c r="B110" s="19">
        <v>41889</v>
      </c>
      <c r="C110" s="20">
        <v>3</v>
      </c>
      <c r="D110" s="18" t="s">
        <v>11</v>
      </c>
      <c r="E110" s="18" t="s">
        <v>23</v>
      </c>
      <c r="F110" s="18" t="s">
        <v>20</v>
      </c>
      <c r="G110" s="21">
        <v>205.61</v>
      </c>
    </row>
    <row r="111" spans="2:7" x14ac:dyDescent="0.25">
      <c r="B111" s="19">
        <v>41736</v>
      </c>
      <c r="C111" s="20">
        <v>2</v>
      </c>
      <c r="D111" s="18" t="s">
        <v>31</v>
      </c>
      <c r="E111" s="18" t="s">
        <v>28</v>
      </c>
      <c r="F111" s="18" t="s">
        <v>30</v>
      </c>
      <c r="G111" s="21">
        <v>1502.87</v>
      </c>
    </row>
    <row r="112" spans="2:7" x14ac:dyDescent="0.25">
      <c r="B112" s="19">
        <v>41786</v>
      </c>
      <c r="C112" s="20">
        <v>2</v>
      </c>
      <c r="D112" s="18" t="s">
        <v>21</v>
      </c>
      <c r="E112" s="18" t="s">
        <v>19</v>
      </c>
      <c r="F112" s="18" t="s">
        <v>30</v>
      </c>
      <c r="G112" s="21">
        <v>2132.06</v>
      </c>
    </row>
    <row r="113" spans="2:7" x14ac:dyDescent="0.25">
      <c r="B113" s="19">
        <v>41349</v>
      </c>
      <c r="C113" s="20">
        <v>1</v>
      </c>
      <c r="D113" s="18" t="s">
        <v>10</v>
      </c>
      <c r="E113" s="18" t="s">
        <v>28</v>
      </c>
      <c r="F113" s="18" t="s">
        <v>33</v>
      </c>
      <c r="G113" s="21">
        <v>2815.7</v>
      </c>
    </row>
    <row r="114" spans="2:7" x14ac:dyDescent="0.25">
      <c r="B114" s="19">
        <v>41773</v>
      </c>
      <c r="C114" s="20">
        <v>2</v>
      </c>
      <c r="D114" s="18" t="s">
        <v>11</v>
      </c>
      <c r="E114" s="18" t="s">
        <v>23</v>
      </c>
      <c r="F114" s="18" t="s">
        <v>20</v>
      </c>
      <c r="G114" s="21">
        <v>733.63</v>
      </c>
    </row>
    <row r="115" spans="2:7" x14ac:dyDescent="0.25">
      <c r="B115" s="19">
        <v>41821</v>
      </c>
      <c r="C115" s="20">
        <v>3</v>
      </c>
      <c r="D115" s="18" t="s">
        <v>8</v>
      </c>
      <c r="E115" s="18" t="s">
        <v>23</v>
      </c>
      <c r="F115" s="18" t="s">
        <v>32</v>
      </c>
      <c r="G115" s="21">
        <v>335.17</v>
      </c>
    </row>
    <row r="116" spans="2:7" x14ac:dyDescent="0.25">
      <c r="B116" s="19">
        <v>41785</v>
      </c>
      <c r="C116" s="20">
        <v>2</v>
      </c>
      <c r="D116" s="18" t="s">
        <v>9</v>
      </c>
      <c r="E116" s="18" t="s">
        <v>26</v>
      </c>
      <c r="F116" s="18" t="s">
        <v>29</v>
      </c>
      <c r="G116" s="21">
        <v>2037.02</v>
      </c>
    </row>
    <row r="117" spans="2:7" x14ac:dyDescent="0.25">
      <c r="B117" s="19">
        <v>41308</v>
      </c>
      <c r="C117" s="20">
        <v>1</v>
      </c>
      <c r="D117" s="18" t="s">
        <v>9</v>
      </c>
      <c r="E117" s="18" t="s">
        <v>26</v>
      </c>
      <c r="F117" s="18" t="s">
        <v>29</v>
      </c>
      <c r="G117" s="21">
        <v>692.4</v>
      </c>
    </row>
    <row r="118" spans="2:7" x14ac:dyDescent="0.25">
      <c r="B118" s="19">
        <v>41442</v>
      </c>
      <c r="C118" s="20">
        <v>2</v>
      </c>
      <c r="D118" s="18" t="s">
        <v>10</v>
      </c>
      <c r="E118" s="18" t="s">
        <v>28</v>
      </c>
      <c r="F118" s="18" t="s">
        <v>33</v>
      </c>
      <c r="G118" s="21">
        <v>2749.29</v>
      </c>
    </row>
    <row r="119" spans="2:7" x14ac:dyDescent="0.25">
      <c r="B119" s="19">
        <v>41541</v>
      </c>
      <c r="C119" s="20">
        <v>3</v>
      </c>
      <c r="D119" s="18" t="s">
        <v>25</v>
      </c>
      <c r="E119" s="18" t="s">
        <v>26</v>
      </c>
      <c r="F119" s="18" t="s">
        <v>30</v>
      </c>
      <c r="G119" s="21">
        <v>1294.82</v>
      </c>
    </row>
    <row r="120" spans="2:7" x14ac:dyDescent="0.25">
      <c r="B120" s="19">
        <v>41938</v>
      </c>
      <c r="C120" s="20">
        <v>4</v>
      </c>
      <c r="D120" s="18" t="s">
        <v>21</v>
      </c>
      <c r="E120" s="18" t="s">
        <v>19</v>
      </c>
      <c r="F120" s="18" t="s">
        <v>20</v>
      </c>
      <c r="G120" s="21">
        <v>464.78</v>
      </c>
    </row>
    <row r="121" spans="2:7" x14ac:dyDescent="0.25">
      <c r="B121" s="19">
        <v>41763</v>
      </c>
      <c r="C121" s="20">
        <v>2</v>
      </c>
      <c r="D121" s="18" t="s">
        <v>11</v>
      </c>
      <c r="E121" s="18" t="s">
        <v>23</v>
      </c>
      <c r="F121" s="18" t="s">
        <v>27</v>
      </c>
      <c r="G121" s="21">
        <v>452.51</v>
      </c>
    </row>
    <row r="122" spans="2:7" x14ac:dyDescent="0.25">
      <c r="B122" s="19">
        <v>41319</v>
      </c>
      <c r="C122" s="20">
        <v>1</v>
      </c>
      <c r="D122" s="18" t="s">
        <v>10</v>
      </c>
      <c r="E122" s="18" t="s">
        <v>28</v>
      </c>
      <c r="F122" s="18" t="s">
        <v>27</v>
      </c>
      <c r="G122" s="21">
        <v>708.59</v>
      </c>
    </row>
    <row r="123" spans="2:7" x14ac:dyDescent="0.25">
      <c r="B123" s="19">
        <v>41298</v>
      </c>
      <c r="C123" s="20">
        <v>1</v>
      </c>
      <c r="D123" s="18" t="s">
        <v>10</v>
      </c>
      <c r="E123" s="18" t="s">
        <v>28</v>
      </c>
      <c r="F123" s="18" t="s">
        <v>32</v>
      </c>
      <c r="G123" s="21">
        <v>795.71</v>
      </c>
    </row>
    <row r="124" spans="2:7" x14ac:dyDescent="0.25">
      <c r="B124" s="19">
        <v>41376</v>
      </c>
      <c r="C124" s="20">
        <v>2</v>
      </c>
      <c r="D124" s="18" t="s">
        <v>31</v>
      </c>
      <c r="E124" s="18" t="s">
        <v>28</v>
      </c>
      <c r="F124" s="18" t="s">
        <v>33</v>
      </c>
      <c r="G124" s="21">
        <v>1060.46</v>
      </c>
    </row>
    <row r="125" spans="2:7" x14ac:dyDescent="0.25">
      <c r="B125" s="19">
        <v>41991</v>
      </c>
      <c r="C125" s="20">
        <v>4</v>
      </c>
      <c r="D125" s="18" t="s">
        <v>11</v>
      </c>
      <c r="E125" s="18" t="s">
        <v>23</v>
      </c>
      <c r="F125" s="18" t="s">
        <v>29</v>
      </c>
      <c r="G125" s="21">
        <v>470.92</v>
      </c>
    </row>
    <row r="126" spans="2:7" x14ac:dyDescent="0.25">
      <c r="B126" s="19">
        <v>41942</v>
      </c>
      <c r="C126" s="20">
        <v>4</v>
      </c>
      <c r="D126" s="18" t="s">
        <v>9</v>
      </c>
      <c r="E126" s="18" t="s">
        <v>26</v>
      </c>
      <c r="F126" s="18" t="s">
        <v>30</v>
      </c>
      <c r="G126" s="21">
        <v>473.52</v>
      </c>
    </row>
    <row r="127" spans="2:7" x14ac:dyDescent="0.25">
      <c r="B127" s="19">
        <v>41465</v>
      </c>
      <c r="C127" s="20">
        <v>3</v>
      </c>
      <c r="D127" s="18" t="s">
        <v>10</v>
      </c>
      <c r="E127" s="18" t="s">
        <v>28</v>
      </c>
      <c r="F127" s="18" t="s">
        <v>24</v>
      </c>
      <c r="G127" s="21">
        <v>916.69</v>
      </c>
    </row>
    <row r="128" spans="2:7" x14ac:dyDescent="0.25">
      <c r="B128" s="19">
        <v>41948</v>
      </c>
      <c r="C128" s="20">
        <v>4</v>
      </c>
      <c r="D128" s="18" t="s">
        <v>31</v>
      </c>
      <c r="E128" s="18" t="s">
        <v>28</v>
      </c>
      <c r="F128" s="18" t="s">
        <v>32</v>
      </c>
      <c r="G128" s="21">
        <v>1364.45</v>
      </c>
    </row>
    <row r="129" spans="2:7" x14ac:dyDescent="0.25">
      <c r="B129" s="19">
        <v>41589</v>
      </c>
      <c r="C129" s="20">
        <v>4</v>
      </c>
      <c r="D129" s="18" t="s">
        <v>21</v>
      </c>
      <c r="E129" s="18" t="s">
        <v>19</v>
      </c>
      <c r="F129" s="18" t="s">
        <v>20</v>
      </c>
      <c r="G129" s="21">
        <v>708.12</v>
      </c>
    </row>
    <row r="130" spans="2:7" x14ac:dyDescent="0.25">
      <c r="B130" s="19">
        <v>41773</v>
      </c>
      <c r="C130" s="20">
        <v>2</v>
      </c>
      <c r="D130" s="18" t="s">
        <v>10</v>
      </c>
      <c r="E130" s="18" t="s">
        <v>28</v>
      </c>
      <c r="F130" s="18" t="s">
        <v>22</v>
      </c>
      <c r="G130" s="21">
        <v>1021.34</v>
      </c>
    </row>
    <row r="131" spans="2:7" x14ac:dyDescent="0.25">
      <c r="B131" s="19">
        <v>41518</v>
      </c>
      <c r="C131" s="20">
        <v>3</v>
      </c>
      <c r="D131" s="18" t="s">
        <v>18</v>
      </c>
      <c r="E131" s="18" t="s">
        <v>19</v>
      </c>
      <c r="F131" s="18" t="s">
        <v>22</v>
      </c>
      <c r="G131" s="21">
        <v>1583.42</v>
      </c>
    </row>
    <row r="132" spans="2:7" x14ac:dyDescent="0.25">
      <c r="B132" s="19">
        <v>41816</v>
      </c>
      <c r="C132" s="20">
        <v>2</v>
      </c>
      <c r="D132" s="18" t="s">
        <v>11</v>
      </c>
      <c r="E132" s="18" t="s">
        <v>23</v>
      </c>
      <c r="F132" s="18" t="s">
        <v>22</v>
      </c>
      <c r="G132" s="21">
        <v>1234.32</v>
      </c>
    </row>
    <row r="133" spans="2:7" x14ac:dyDescent="0.25">
      <c r="B133" s="19">
        <v>41740</v>
      </c>
      <c r="C133" s="20">
        <v>2</v>
      </c>
      <c r="D133" s="18" t="s">
        <v>31</v>
      </c>
      <c r="E133" s="18" t="s">
        <v>28</v>
      </c>
      <c r="F133" s="18" t="s">
        <v>29</v>
      </c>
      <c r="G133" s="21">
        <v>3962.52</v>
      </c>
    </row>
    <row r="134" spans="2:7" x14ac:dyDescent="0.25">
      <c r="B134" s="19">
        <v>41604</v>
      </c>
      <c r="C134" s="20">
        <v>4</v>
      </c>
      <c r="D134" s="18" t="s">
        <v>18</v>
      </c>
      <c r="E134" s="18" t="s">
        <v>19</v>
      </c>
      <c r="F134" s="18" t="s">
        <v>33</v>
      </c>
      <c r="G134" s="21">
        <v>384.44</v>
      </c>
    </row>
    <row r="135" spans="2:7" x14ac:dyDescent="0.25">
      <c r="B135" s="19">
        <v>41623</v>
      </c>
      <c r="C135" s="20">
        <v>4</v>
      </c>
      <c r="D135" s="18" t="s">
        <v>21</v>
      </c>
      <c r="E135" s="18" t="s">
        <v>19</v>
      </c>
      <c r="F135" s="18" t="s">
        <v>20</v>
      </c>
      <c r="G135" s="21">
        <v>351.12</v>
      </c>
    </row>
    <row r="136" spans="2:7" x14ac:dyDescent="0.25">
      <c r="B136" s="19">
        <v>41595</v>
      </c>
      <c r="C136" s="20">
        <v>4</v>
      </c>
      <c r="D136" s="18" t="s">
        <v>31</v>
      </c>
      <c r="E136" s="18" t="s">
        <v>28</v>
      </c>
      <c r="F136" s="18" t="s">
        <v>29</v>
      </c>
      <c r="G136" s="21">
        <v>3467.02</v>
      </c>
    </row>
    <row r="137" spans="2:7" x14ac:dyDescent="0.25">
      <c r="B137" s="19">
        <v>41562</v>
      </c>
      <c r="C137" s="20">
        <v>4</v>
      </c>
      <c r="D137" s="18" t="s">
        <v>25</v>
      </c>
      <c r="E137" s="18" t="s">
        <v>26</v>
      </c>
      <c r="F137" s="18" t="s">
        <v>29</v>
      </c>
      <c r="G137" s="21">
        <v>3283.82</v>
      </c>
    </row>
    <row r="138" spans="2:7" x14ac:dyDescent="0.25">
      <c r="B138" s="19">
        <v>41526</v>
      </c>
      <c r="C138" s="20">
        <v>3</v>
      </c>
      <c r="D138" s="18" t="s">
        <v>21</v>
      </c>
      <c r="E138" s="18" t="s">
        <v>19</v>
      </c>
      <c r="F138" s="18" t="s">
        <v>27</v>
      </c>
      <c r="G138" s="21">
        <v>218.45</v>
      </c>
    </row>
    <row r="139" spans="2:7" x14ac:dyDescent="0.25">
      <c r="B139" s="19">
        <v>41769</v>
      </c>
      <c r="C139" s="20">
        <v>2</v>
      </c>
      <c r="D139" s="18" t="s">
        <v>10</v>
      </c>
      <c r="E139" s="18" t="s">
        <v>28</v>
      </c>
      <c r="F139" s="18" t="s">
        <v>30</v>
      </c>
      <c r="G139" s="21">
        <v>1097.07</v>
      </c>
    </row>
    <row r="140" spans="2:7" x14ac:dyDescent="0.25">
      <c r="B140" s="19">
        <v>41805</v>
      </c>
      <c r="C140" s="20">
        <v>2</v>
      </c>
      <c r="D140" s="18" t="s">
        <v>25</v>
      </c>
      <c r="E140" s="18" t="s">
        <v>26</v>
      </c>
      <c r="F140" s="18" t="s">
        <v>22</v>
      </c>
      <c r="G140" s="21">
        <v>824.2</v>
      </c>
    </row>
    <row r="141" spans="2:7" x14ac:dyDescent="0.25">
      <c r="B141" s="19">
        <v>41771</v>
      </c>
      <c r="C141" s="20">
        <v>2</v>
      </c>
      <c r="D141" s="18" t="s">
        <v>8</v>
      </c>
      <c r="E141" s="18" t="s">
        <v>23</v>
      </c>
      <c r="F141" s="18" t="s">
        <v>30</v>
      </c>
      <c r="G141" s="21">
        <v>2505.56</v>
      </c>
    </row>
    <row r="142" spans="2:7" x14ac:dyDescent="0.25">
      <c r="B142" s="19">
        <v>41759</v>
      </c>
      <c r="C142" s="20">
        <v>2</v>
      </c>
      <c r="D142" s="18" t="s">
        <v>9</v>
      </c>
      <c r="E142" s="18" t="s">
        <v>26</v>
      </c>
      <c r="F142" s="18" t="s">
        <v>27</v>
      </c>
      <c r="G142" s="21">
        <v>446.43</v>
      </c>
    </row>
    <row r="143" spans="2:7" x14ac:dyDescent="0.25">
      <c r="B143" s="19">
        <v>41477</v>
      </c>
      <c r="C143" s="20">
        <v>3</v>
      </c>
      <c r="D143" s="18" t="s">
        <v>25</v>
      </c>
      <c r="E143" s="18" t="s">
        <v>26</v>
      </c>
      <c r="F143" s="18" t="s">
        <v>22</v>
      </c>
      <c r="G143" s="21">
        <v>237.77</v>
      </c>
    </row>
    <row r="144" spans="2:7" x14ac:dyDescent="0.25">
      <c r="B144" s="19">
        <v>41534</v>
      </c>
      <c r="C144" s="20">
        <v>3</v>
      </c>
      <c r="D144" s="18" t="s">
        <v>31</v>
      </c>
      <c r="E144" s="18" t="s">
        <v>28</v>
      </c>
      <c r="F144" s="18" t="s">
        <v>32</v>
      </c>
      <c r="G144" s="21">
        <v>1080.82</v>
      </c>
    </row>
    <row r="145" spans="2:7" x14ac:dyDescent="0.25">
      <c r="B145" s="19">
        <v>41844</v>
      </c>
      <c r="C145" s="20">
        <v>3</v>
      </c>
      <c r="D145" s="18" t="s">
        <v>9</v>
      </c>
      <c r="E145" s="18" t="s">
        <v>26</v>
      </c>
      <c r="F145" s="18" t="s">
        <v>24</v>
      </c>
      <c r="G145" s="21">
        <v>1470.25</v>
      </c>
    </row>
    <row r="146" spans="2:7" x14ac:dyDescent="0.25">
      <c r="B146" s="19">
        <v>41376</v>
      </c>
      <c r="C146" s="20">
        <v>2</v>
      </c>
      <c r="D146" s="18" t="s">
        <v>18</v>
      </c>
      <c r="E146" s="18" t="s">
        <v>19</v>
      </c>
      <c r="F146" s="18" t="s">
        <v>29</v>
      </c>
      <c r="G146" s="21">
        <v>2751.46</v>
      </c>
    </row>
    <row r="147" spans="2:7" x14ac:dyDescent="0.25">
      <c r="B147" s="19">
        <v>41579</v>
      </c>
      <c r="C147" s="20">
        <v>4</v>
      </c>
      <c r="D147" s="18" t="s">
        <v>25</v>
      </c>
      <c r="E147" s="18" t="s">
        <v>26</v>
      </c>
      <c r="F147" s="18" t="s">
        <v>29</v>
      </c>
      <c r="G147" s="21">
        <v>3048.66</v>
      </c>
    </row>
    <row r="148" spans="2:7" x14ac:dyDescent="0.25">
      <c r="B148" s="19">
        <v>41516</v>
      </c>
      <c r="C148" s="20">
        <v>3</v>
      </c>
      <c r="D148" s="18" t="s">
        <v>10</v>
      </c>
      <c r="E148" s="18" t="s">
        <v>28</v>
      </c>
      <c r="F148" s="18" t="s">
        <v>22</v>
      </c>
      <c r="G148" s="21">
        <v>1810.03</v>
      </c>
    </row>
    <row r="149" spans="2:7" x14ac:dyDescent="0.25">
      <c r="B149" s="19">
        <v>41936</v>
      </c>
      <c r="C149" s="20">
        <v>4</v>
      </c>
      <c r="D149" s="18" t="s">
        <v>8</v>
      </c>
      <c r="E149" s="18" t="s">
        <v>23</v>
      </c>
      <c r="F149" s="18" t="s">
        <v>24</v>
      </c>
      <c r="G149" s="21">
        <v>162.04</v>
      </c>
    </row>
    <row r="150" spans="2:7" x14ac:dyDescent="0.25">
      <c r="B150" s="19">
        <v>41876</v>
      </c>
      <c r="C150" s="20">
        <v>3</v>
      </c>
      <c r="D150" s="18" t="s">
        <v>21</v>
      </c>
      <c r="E150" s="18" t="s">
        <v>19</v>
      </c>
      <c r="F150" s="18" t="s">
        <v>32</v>
      </c>
      <c r="G150" s="21">
        <v>875.22</v>
      </c>
    </row>
    <row r="151" spans="2:7" x14ac:dyDescent="0.25">
      <c r="B151" s="19">
        <v>41437</v>
      </c>
      <c r="C151" s="20">
        <v>2</v>
      </c>
      <c r="D151" s="18" t="s">
        <v>25</v>
      </c>
      <c r="E151" s="18" t="s">
        <v>26</v>
      </c>
      <c r="F151" s="18" t="s">
        <v>33</v>
      </c>
      <c r="G151" s="21">
        <v>2574.54</v>
      </c>
    </row>
    <row r="152" spans="2:7" x14ac:dyDescent="0.25">
      <c r="B152" s="19">
        <v>41483</v>
      </c>
      <c r="C152" s="20">
        <v>3</v>
      </c>
      <c r="D152" s="18" t="s">
        <v>11</v>
      </c>
      <c r="E152" s="18" t="s">
        <v>23</v>
      </c>
      <c r="F152" s="18" t="s">
        <v>22</v>
      </c>
      <c r="G152" s="21">
        <v>1153.0999999999999</v>
      </c>
    </row>
    <row r="153" spans="2:7" x14ac:dyDescent="0.25">
      <c r="B153" s="19">
        <v>41652</v>
      </c>
      <c r="C153" s="20">
        <v>1</v>
      </c>
      <c r="D153" s="18" t="s">
        <v>9</v>
      </c>
      <c r="E153" s="18" t="s">
        <v>26</v>
      </c>
      <c r="F153" s="18" t="s">
        <v>29</v>
      </c>
      <c r="G153" s="21">
        <v>2721.88</v>
      </c>
    </row>
    <row r="154" spans="2:7" x14ac:dyDescent="0.25">
      <c r="B154" s="19">
        <v>41780</v>
      </c>
      <c r="C154" s="20">
        <v>2</v>
      </c>
      <c r="D154" s="18" t="s">
        <v>25</v>
      </c>
      <c r="E154" s="18" t="s">
        <v>26</v>
      </c>
      <c r="F154" s="18" t="s">
        <v>24</v>
      </c>
      <c r="G154" s="21">
        <v>1576.04</v>
      </c>
    </row>
    <row r="155" spans="2:7" x14ac:dyDescent="0.25">
      <c r="B155" s="19">
        <v>41375</v>
      </c>
      <c r="C155" s="20">
        <v>2</v>
      </c>
      <c r="D155" s="18" t="s">
        <v>18</v>
      </c>
      <c r="E155" s="18" t="s">
        <v>19</v>
      </c>
      <c r="F155" s="18" t="s">
        <v>30</v>
      </c>
      <c r="G155" s="21">
        <v>217.7</v>
      </c>
    </row>
    <row r="156" spans="2:7" x14ac:dyDescent="0.25">
      <c r="B156" s="19">
        <v>41889</v>
      </c>
      <c r="C156" s="20">
        <v>3</v>
      </c>
      <c r="D156" s="18" t="s">
        <v>18</v>
      </c>
      <c r="E156" s="18" t="s">
        <v>19</v>
      </c>
      <c r="F156" s="18" t="s">
        <v>33</v>
      </c>
      <c r="G156" s="21">
        <v>473.15</v>
      </c>
    </row>
    <row r="157" spans="2:7" x14ac:dyDescent="0.25">
      <c r="B157" s="19">
        <v>41376</v>
      </c>
      <c r="C157" s="20">
        <v>2</v>
      </c>
      <c r="D157" s="18" t="s">
        <v>9</v>
      </c>
      <c r="E157" s="18" t="s">
        <v>26</v>
      </c>
      <c r="F157" s="18" t="s">
        <v>32</v>
      </c>
      <c r="G157" s="21">
        <v>1897.59</v>
      </c>
    </row>
    <row r="158" spans="2:7" x14ac:dyDescent="0.25">
      <c r="B158" s="19">
        <v>41981</v>
      </c>
      <c r="C158" s="20">
        <v>4</v>
      </c>
      <c r="D158" s="18" t="s">
        <v>31</v>
      </c>
      <c r="E158" s="18" t="s">
        <v>28</v>
      </c>
      <c r="F158" s="18" t="s">
        <v>27</v>
      </c>
      <c r="G158" s="21">
        <v>733.86</v>
      </c>
    </row>
    <row r="159" spans="2:7" x14ac:dyDescent="0.25">
      <c r="B159" s="19">
        <v>41544</v>
      </c>
      <c r="C159" s="20">
        <v>3</v>
      </c>
      <c r="D159" s="18" t="s">
        <v>25</v>
      </c>
      <c r="E159" s="18" t="s">
        <v>26</v>
      </c>
      <c r="F159" s="18" t="s">
        <v>33</v>
      </c>
      <c r="G159" s="21">
        <v>2170.11</v>
      </c>
    </row>
    <row r="160" spans="2:7" x14ac:dyDescent="0.25">
      <c r="B160" s="19">
        <v>41651</v>
      </c>
      <c r="C160" s="20">
        <v>1</v>
      </c>
      <c r="D160" s="18" t="s">
        <v>9</v>
      </c>
      <c r="E160" s="18" t="s">
        <v>26</v>
      </c>
      <c r="F160" s="18" t="s">
        <v>20</v>
      </c>
      <c r="G160" s="21">
        <v>771.42</v>
      </c>
    </row>
    <row r="161" spans="2:7" x14ac:dyDescent="0.25">
      <c r="B161" s="19">
        <v>41504</v>
      </c>
      <c r="C161" s="20">
        <v>3</v>
      </c>
      <c r="D161" s="18" t="s">
        <v>9</v>
      </c>
      <c r="E161" s="18" t="s">
        <v>26</v>
      </c>
      <c r="F161" s="18" t="s">
        <v>30</v>
      </c>
      <c r="G161" s="21">
        <v>1771.08</v>
      </c>
    </row>
    <row r="162" spans="2:7" x14ac:dyDescent="0.25">
      <c r="B162" s="19">
        <v>41730</v>
      </c>
      <c r="C162" s="20">
        <v>2</v>
      </c>
      <c r="D162" s="18" t="s">
        <v>10</v>
      </c>
      <c r="E162" s="18" t="s">
        <v>28</v>
      </c>
      <c r="F162" s="18" t="s">
        <v>22</v>
      </c>
      <c r="G162" s="21">
        <v>1193.5</v>
      </c>
    </row>
    <row r="163" spans="2:7" x14ac:dyDescent="0.25">
      <c r="B163" s="19">
        <v>41536</v>
      </c>
      <c r="C163" s="20">
        <v>3</v>
      </c>
      <c r="D163" s="18" t="s">
        <v>8</v>
      </c>
      <c r="E163" s="18" t="s">
        <v>23</v>
      </c>
      <c r="F163" s="18" t="s">
        <v>22</v>
      </c>
      <c r="G163" s="21">
        <v>1636.68</v>
      </c>
    </row>
    <row r="164" spans="2:7" x14ac:dyDescent="0.25">
      <c r="B164" s="19">
        <v>41608</v>
      </c>
      <c r="C164" s="20">
        <v>4</v>
      </c>
      <c r="D164" s="18" t="s">
        <v>25</v>
      </c>
      <c r="E164" s="18" t="s">
        <v>26</v>
      </c>
      <c r="F164" s="18" t="s">
        <v>27</v>
      </c>
      <c r="G164" s="21">
        <v>1582.84</v>
      </c>
    </row>
    <row r="165" spans="2:7" x14ac:dyDescent="0.25">
      <c r="B165" s="19">
        <v>41281</v>
      </c>
      <c r="C165" s="20">
        <v>1</v>
      </c>
      <c r="D165" s="18" t="s">
        <v>11</v>
      </c>
      <c r="E165" s="18" t="s">
        <v>23</v>
      </c>
      <c r="F165" s="18" t="s">
        <v>20</v>
      </c>
      <c r="G165" s="21">
        <v>615.12</v>
      </c>
    </row>
    <row r="166" spans="2:7" x14ac:dyDescent="0.25">
      <c r="B166" s="19">
        <v>41900</v>
      </c>
      <c r="C166" s="20">
        <v>3</v>
      </c>
      <c r="D166" s="18" t="s">
        <v>8</v>
      </c>
      <c r="E166" s="18" t="s">
        <v>23</v>
      </c>
      <c r="F166" s="18" t="s">
        <v>29</v>
      </c>
      <c r="G166" s="21">
        <v>3396.52</v>
      </c>
    </row>
    <row r="167" spans="2:7" x14ac:dyDescent="0.25">
      <c r="B167" s="19">
        <v>41461</v>
      </c>
      <c r="C167" s="20">
        <v>3</v>
      </c>
      <c r="D167" s="18" t="s">
        <v>31</v>
      </c>
      <c r="E167" s="18" t="s">
        <v>28</v>
      </c>
      <c r="F167" s="18" t="s">
        <v>32</v>
      </c>
      <c r="G167" s="21">
        <v>1323.58</v>
      </c>
    </row>
    <row r="168" spans="2:7" x14ac:dyDescent="0.25">
      <c r="B168" s="19">
        <v>41496</v>
      </c>
      <c r="C168" s="20">
        <v>3</v>
      </c>
      <c r="D168" s="18" t="s">
        <v>21</v>
      </c>
      <c r="E168" s="18" t="s">
        <v>19</v>
      </c>
      <c r="F168" s="18" t="s">
        <v>33</v>
      </c>
      <c r="G168" s="21">
        <v>2225.94</v>
      </c>
    </row>
    <row r="169" spans="2:7" x14ac:dyDescent="0.25">
      <c r="B169" s="19">
        <v>41533</v>
      </c>
      <c r="C169" s="20">
        <v>3</v>
      </c>
      <c r="D169" s="18" t="s">
        <v>10</v>
      </c>
      <c r="E169" s="18" t="s">
        <v>28</v>
      </c>
      <c r="F169" s="18" t="s">
        <v>20</v>
      </c>
      <c r="G169" s="21">
        <v>193.39</v>
      </c>
    </row>
    <row r="170" spans="2:7" x14ac:dyDescent="0.25">
      <c r="B170" s="19">
        <v>41581</v>
      </c>
      <c r="C170" s="20">
        <v>4</v>
      </c>
      <c r="D170" s="18" t="s">
        <v>21</v>
      </c>
      <c r="E170" s="18" t="s">
        <v>19</v>
      </c>
      <c r="F170" s="18" t="s">
        <v>27</v>
      </c>
      <c r="G170" s="21">
        <v>743.88</v>
      </c>
    </row>
    <row r="171" spans="2:7" x14ac:dyDescent="0.25">
      <c r="B171" s="19">
        <v>41889</v>
      </c>
      <c r="C171" s="20">
        <v>3</v>
      </c>
      <c r="D171" s="18" t="s">
        <v>21</v>
      </c>
      <c r="E171" s="18" t="s">
        <v>19</v>
      </c>
      <c r="F171" s="18" t="s">
        <v>27</v>
      </c>
      <c r="G171" s="21">
        <v>1832.9</v>
      </c>
    </row>
    <row r="172" spans="2:7" x14ac:dyDescent="0.25">
      <c r="B172" s="19">
        <v>41470</v>
      </c>
      <c r="C172" s="20">
        <v>3</v>
      </c>
      <c r="D172" s="18" t="s">
        <v>18</v>
      </c>
      <c r="E172" s="18" t="s">
        <v>19</v>
      </c>
      <c r="F172" s="18" t="s">
        <v>22</v>
      </c>
      <c r="G172" s="21">
        <v>1791.99</v>
      </c>
    </row>
    <row r="173" spans="2:7" x14ac:dyDescent="0.25">
      <c r="B173" s="19">
        <v>41699</v>
      </c>
      <c r="C173" s="20">
        <v>1</v>
      </c>
      <c r="D173" s="18" t="s">
        <v>11</v>
      </c>
      <c r="E173" s="18" t="s">
        <v>23</v>
      </c>
      <c r="F173" s="18" t="s">
        <v>33</v>
      </c>
      <c r="G173" s="21">
        <v>1451.51</v>
      </c>
    </row>
    <row r="174" spans="2:7" x14ac:dyDescent="0.25">
      <c r="B174" s="19">
        <v>41973</v>
      </c>
      <c r="C174" s="20">
        <v>4</v>
      </c>
      <c r="D174" s="18" t="s">
        <v>10</v>
      </c>
      <c r="E174" s="18" t="s">
        <v>28</v>
      </c>
      <c r="F174" s="18" t="s">
        <v>32</v>
      </c>
      <c r="G174" s="21">
        <v>843.65</v>
      </c>
    </row>
    <row r="175" spans="2:7" x14ac:dyDescent="0.25">
      <c r="B175" s="19">
        <v>41986</v>
      </c>
      <c r="C175" s="20">
        <v>4</v>
      </c>
      <c r="D175" s="18" t="s">
        <v>18</v>
      </c>
      <c r="E175" s="18" t="s">
        <v>19</v>
      </c>
      <c r="F175" s="18" t="s">
        <v>20</v>
      </c>
      <c r="G175" s="21">
        <v>232.75</v>
      </c>
    </row>
    <row r="176" spans="2:7" x14ac:dyDescent="0.25">
      <c r="B176" s="19">
        <v>41645</v>
      </c>
      <c r="C176" s="20">
        <v>1</v>
      </c>
      <c r="D176" s="18" t="s">
        <v>21</v>
      </c>
      <c r="E176" s="18" t="s">
        <v>19</v>
      </c>
      <c r="F176" s="18" t="s">
        <v>33</v>
      </c>
      <c r="G176" s="21">
        <v>1362.57</v>
      </c>
    </row>
    <row r="177" spans="2:7" x14ac:dyDescent="0.25">
      <c r="B177" s="19">
        <v>41481</v>
      </c>
      <c r="C177" s="20">
        <v>3</v>
      </c>
      <c r="D177" s="18" t="s">
        <v>21</v>
      </c>
      <c r="E177" s="18" t="s">
        <v>19</v>
      </c>
      <c r="F177" s="18" t="s">
        <v>33</v>
      </c>
      <c r="G177" s="21">
        <v>2707.92</v>
      </c>
    </row>
    <row r="178" spans="2:7" x14ac:dyDescent="0.25">
      <c r="B178" s="19">
        <v>41584</v>
      </c>
      <c r="C178" s="20">
        <v>4</v>
      </c>
      <c r="D178" s="18" t="s">
        <v>31</v>
      </c>
      <c r="E178" s="18" t="s">
        <v>28</v>
      </c>
      <c r="F178" s="18" t="s">
        <v>32</v>
      </c>
      <c r="G178" s="21">
        <v>152.94</v>
      </c>
    </row>
    <row r="179" spans="2:7" x14ac:dyDescent="0.25">
      <c r="B179" s="19">
        <v>41888</v>
      </c>
      <c r="C179" s="20">
        <v>3</v>
      </c>
      <c r="D179" s="18" t="s">
        <v>21</v>
      </c>
      <c r="E179" s="18" t="s">
        <v>19</v>
      </c>
      <c r="F179" s="18" t="s">
        <v>29</v>
      </c>
      <c r="G179" s="21">
        <v>2044.82</v>
      </c>
    </row>
    <row r="180" spans="2:7" x14ac:dyDescent="0.25">
      <c r="B180" s="19">
        <v>41642</v>
      </c>
      <c r="C180" s="20">
        <v>1</v>
      </c>
      <c r="D180" s="18" t="s">
        <v>31</v>
      </c>
      <c r="E180" s="18" t="s">
        <v>28</v>
      </c>
      <c r="F180" s="18" t="s">
        <v>22</v>
      </c>
      <c r="G180" s="21">
        <v>1281.19</v>
      </c>
    </row>
    <row r="181" spans="2:7" x14ac:dyDescent="0.25">
      <c r="B181" s="19">
        <v>41435</v>
      </c>
      <c r="C181" s="20">
        <v>2</v>
      </c>
      <c r="D181" s="18" t="s">
        <v>25</v>
      </c>
      <c r="E181" s="18" t="s">
        <v>26</v>
      </c>
      <c r="F181" s="18" t="s">
        <v>29</v>
      </c>
      <c r="G181" s="21">
        <v>2344.1999999999998</v>
      </c>
    </row>
    <row r="182" spans="2:7" x14ac:dyDescent="0.25">
      <c r="B182" s="19">
        <v>41469</v>
      </c>
      <c r="C182" s="20">
        <v>3</v>
      </c>
      <c r="D182" s="18" t="s">
        <v>11</v>
      </c>
      <c r="E182" s="18" t="s">
        <v>23</v>
      </c>
      <c r="F182" s="18" t="s">
        <v>20</v>
      </c>
      <c r="G182" s="21">
        <v>176.54</v>
      </c>
    </row>
    <row r="183" spans="2:7" x14ac:dyDescent="0.25">
      <c r="B183" s="19">
        <v>41442</v>
      </c>
      <c r="C183" s="20">
        <v>2</v>
      </c>
      <c r="D183" s="18" t="s">
        <v>10</v>
      </c>
      <c r="E183" s="18" t="s">
        <v>28</v>
      </c>
      <c r="F183" s="18" t="s">
        <v>27</v>
      </c>
      <c r="G183" s="21">
        <v>1560.55</v>
      </c>
    </row>
    <row r="184" spans="2:7" x14ac:dyDescent="0.25">
      <c r="B184" s="19">
        <v>41971</v>
      </c>
      <c r="C184" s="20">
        <v>4</v>
      </c>
      <c r="D184" s="18" t="s">
        <v>25</v>
      </c>
      <c r="E184" s="18" t="s">
        <v>26</v>
      </c>
      <c r="F184" s="18" t="s">
        <v>30</v>
      </c>
      <c r="G184" s="21">
        <v>2113.65</v>
      </c>
    </row>
    <row r="185" spans="2:7" x14ac:dyDescent="0.25">
      <c r="B185" s="19">
        <v>41418</v>
      </c>
      <c r="C185" s="20">
        <v>2</v>
      </c>
      <c r="D185" s="18" t="s">
        <v>31</v>
      </c>
      <c r="E185" s="18" t="s">
        <v>28</v>
      </c>
      <c r="F185" s="18" t="s">
        <v>24</v>
      </c>
      <c r="G185" s="21">
        <v>1240.3900000000001</v>
      </c>
    </row>
    <row r="186" spans="2:7" x14ac:dyDescent="0.25">
      <c r="B186" s="19">
        <v>41947</v>
      </c>
      <c r="C186" s="20">
        <v>4</v>
      </c>
      <c r="D186" s="18" t="s">
        <v>9</v>
      </c>
      <c r="E186" s="18" t="s">
        <v>26</v>
      </c>
      <c r="F186" s="18" t="s">
        <v>22</v>
      </c>
      <c r="G186" s="21">
        <v>958.82</v>
      </c>
    </row>
    <row r="187" spans="2:7" x14ac:dyDescent="0.25">
      <c r="B187" s="19">
        <v>41584</v>
      </c>
      <c r="C187" s="20">
        <v>4</v>
      </c>
      <c r="D187" s="18" t="s">
        <v>9</v>
      </c>
      <c r="E187" s="18" t="s">
        <v>26</v>
      </c>
      <c r="F187" s="18" t="s">
        <v>33</v>
      </c>
      <c r="G187" s="21">
        <v>493.02</v>
      </c>
    </row>
    <row r="188" spans="2:7" x14ac:dyDescent="0.25">
      <c r="B188" s="19">
        <v>41644</v>
      </c>
      <c r="C188" s="20">
        <v>1</v>
      </c>
      <c r="D188" s="18" t="s">
        <v>10</v>
      </c>
      <c r="E188" s="18" t="s">
        <v>28</v>
      </c>
      <c r="F188" s="18" t="s">
        <v>27</v>
      </c>
      <c r="G188" s="21">
        <v>557.84</v>
      </c>
    </row>
    <row r="189" spans="2:7" x14ac:dyDescent="0.25">
      <c r="B189" s="19">
        <v>41940</v>
      </c>
      <c r="C189" s="20">
        <v>4</v>
      </c>
      <c r="D189" s="18" t="s">
        <v>31</v>
      </c>
      <c r="E189" s="18" t="s">
        <v>28</v>
      </c>
      <c r="F189" s="18" t="s">
        <v>20</v>
      </c>
      <c r="G189" s="21">
        <v>701.28</v>
      </c>
    </row>
    <row r="190" spans="2:7" x14ac:dyDescent="0.25">
      <c r="B190" s="19">
        <v>41420</v>
      </c>
      <c r="C190" s="20">
        <v>2</v>
      </c>
      <c r="D190" s="18" t="s">
        <v>8</v>
      </c>
      <c r="E190" s="18" t="s">
        <v>23</v>
      </c>
      <c r="F190" s="18" t="s">
        <v>30</v>
      </c>
      <c r="G190" s="21">
        <v>465.61</v>
      </c>
    </row>
    <row r="191" spans="2:7" x14ac:dyDescent="0.25">
      <c r="B191" s="19">
        <v>41634</v>
      </c>
      <c r="C191" s="20">
        <v>4</v>
      </c>
      <c r="D191" s="18" t="s">
        <v>8</v>
      </c>
      <c r="E191" s="18" t="s">
        <v>23</v>
      </c>
      <c r="F191" s="18" t="s">
        <v>29</v>
      </c>
      <c r="G191" s="21">
        <v>208.26</v>
      </c>
    </row>
    <row r="192" spans="2:7" x14ac:dyDescent="0.25">
      <c r="B192" s="19">
        <v>41779</v>
      </c>
      <c r="C192" s="20">
        <v>2</v>
      </c>
      <c r="D192" s="18" t="s">
        <v>8</v>
      </c>
      <c r="E192" s="18" t="s">
        <v>23</v>
      </c>
      <c r="F192" s="18" t="s">
        <v>29</v>
      </c>
      <c r="G192" s="21">
        <v>3364.5</v>
      </c>
    </row>
    <row r="193" spans="2:7" x14ac:dyDescent="0.25">
      <c r="B193" s="19">
        <v>41929</v>
      </c>
      <c r="C193" s="20">
        <v>4</v>
      </c>
      <c r="D193" s="18" t="s">
        <v>21</v>
      </c>
      <c r="E193" s="18" t="s">
        <v>19</v>
      </c>
      <c r="F193" s="18" t="s">
        <v>24</v>
      </c>
      <c r="G193" s="21">
        <v>1878.94</v>
      </c>
    </row>
    <row r="194" spans="2:7" x14ac:dyDescent="0.25">
      <c r="B194" s="19">
        <v>41335</v>
      </c>
      <c r="C194" s="20">
        <v>1</v>
      </c>
      <c r="D194" s="18" t="s">
        <v>9</v>
      </c>
      <c r="E194" s="18" t="s">
        <v>26</v>
      </c>
      <c r="F194" s="18" t="s">
        <v>22</v>
      </c>
      <c r="G194" s="21">
        <v>1408.84</v>
      </c>
    </row>
    <row r="195" spans="2:7" x14ac:dyDescent="0.25">
      <c r="B195" s="19">
        <v>41370</v>
      </c>
      <c r="C195" s="20">
        <v>2</v>
      </c>
      <c r="D195" s="18" t="s">
        <v>18</v>
      </c>
      <c r="E195" s="18" t="s">
        <v>19</v>
      </c>
      <c r="F195" s="18" t="s">
        <v>27</v>
      </c>
      <c r="G195" s="21">
        <v>1540.44</v>
      </c>
    </row>
    <row r="196" spans="2:7" x14ac:dyDescent="0.25">
      <c r="B196" s="19">
        <v>41548</v>
      </c>
      <c r="C196" s="20">
        <v>4</v>
      </c>
      <c r="D196" s="18" t="s">
        <v>31</v>
      </c>
      <c r="E196" s="18" t="s">
        <v>28</v>
      </c>
      <c r="F196" s="18" t="s">
        <v>24</v>
      </c>
      <c r="G196" s="21">
        <v>1572.35</v>
      </c>
    </row>
    <row r="197" spans="2:7" x14ac:dyDescent="0.25">
      <c r="B197" s="19">
        <v>41620</v>
      </c>
      <c r="C197" s="20">
        <v>4</v>
      </c>
      <c r="D197" s="18" t="s">
        <v>18</v>
      </c>
      <c r="E197" s="18" t="s">
        <v>19</v>
      </c>
      <c r="F197" s="18" t="s">
        <v>32</v>
      </c>
      <c r="G197" s="21">
        <v>1786</v>
      </c>
    </row>
    <row r="198" spans="2:7" x14ac:dyDescent="0.25">
      <c r="B198" s="19">
        <v>41422</v>
      </c>
      <c r="C198" s="20">
        <v>2</v>
      </c>
      <c r="D198" s="18" t="s">
        <v>18</v>
      </c>
      <c r="E198" s="18" t="s">
        <v>19</v>
      </c>
      <c r="F198" s="18" t="s">
        <v>27</v>
      </c>
      <c r="G198" s="21">
        <v>1981.69</v>
      </c>
    </row>
    <row r="199" spans="2:7" x14ac:dyDescent="0.25">
      <c r="B199" s="19">
        <v>41306</v>
      </c>
      <c r="C199" s="20">
        <v>1</v>
      </c>
      <c r="D199" s="18" t="s">
        <v>8</v>
      </c>
      <c r="E199" s="18" t="s">
        <v>23</v>
      </c>
      <c r="F199" s="18" t="s">
        <v>33</v>
      </c>
      <c r="G199" s="21">
        <v>1384.77</v>
      </c>
    </row>
    <row r="200" spans="2:7" x14ac:dyDescent="0.25">
      <c r="B200" s="19">
        <v>41948</v>
      </c>
      <c r="C200" s="20">
        <v>4</v>
      </c>
      <c r="D200" s="18" t="s">
        <v>31</v>
      </c>
      <c r="E200" s="18" t="s">
        <v>28</v>
      </c>
      <c r="F200" s="18" t="s">
        <v>33</v>
      </c>
      <c r="G200" s="21">
        <v>1086.5899999999999</v>
      </c>
    </row>
    <row r="201" spans="2:7" x14ac:dyDescent="0.25">
      <c r="B201" s="19">
        <v>41352</v>
      </c>
      <c r="C201" s="20">
        <v>1</v>
      </c>
      <c r="D201" s="18" t="s">
        <v>31</v>
      </c>
      <c r="E201" s="18" t="s">
        <v>28</v>
      </c>
      <c r="F201" s="18" t="s">
        <v>24</v>
      </c>
      <c r="G201" s="21">
        <v>164.77</v>
      </c>
    </row>
    <row r="202" spans="2:7" x14ac:dyDescent="0.25">
      <c r="B202" s="19">
        <v>41304</v>
      </c>
      <c r="C202" s="20">
        <v>1</v>
      </c>
      <c r="D202" s="18" t="s">
        <v>11</v>
      </c>
      <c r="E202" s="18" t="s">
        <v>23</v>
      </c>
      <c r="F202" s="18" t="s">
        <v>32</v>
      </c>
      <c r="G202" s="21">
        <v>1048.9000000000001</v>
      </c>
    </row>
    <row r="203" spans="2:7" x14ac:dyDescent="0.25">
      <c r="B203" s="19">
        <v>41661</v>
      </c>
      <c r="C203" s="20">
        <v>1</v>
      </c>
      <c r="D203" s="18" t="s">
        <v>10</v>
      </c>
      <c r="E203" s="18" t="s">
        <v>28</v>
      </c>
      <c r="F203" s="18" t="s">
        <v>29</v>
      </c>
      <c r="G203" s="21">
        <v>1497.9</v>
      </c>
    </row>
    <row r="204" spans="2:7" x14ac:dyDescent="0.25">
      <c r="B204" s="19">
        <v>41377</v>
      </c>
      <c r="C204" s="20">
        <v>2</v>
      </c>
      <c r="D204" s="18" t="s">
        <v>11</v>
      </c>
      <c r="E204" s="18" t="s">
        <v>23</v>
      </c>
      <c r="F204" s="18" t="s">
        <v>32</v>
      </c>
      <c r="G204" s="21">
        <v>1845.39</v>
      </c>
    </row>
    <row r="205" spans="2:7" x14ac:dyDescent="0.25">
      <c r="B205" s="19">
        <v>41989</v>
      </c>
      <c r="C205" s="20">
        <v>4</v>
      </c>
      <c r="D205" s="18" t="s">
        <v>18</v>
      </c>
      <c r="E205" s="18" t="s">
        <v>19</v>
      </c>
      <c r="F205" s="18" t="s">
        <v>24</v>
      </c>
      <c r="G205" s="21">
        <v>612.6</v>
      </c>
    </row>
    <row r="206" spans="2:7" x14ac:dyDescent="0.25">
      <c r="B206" s="19">
        <v>41466</v>
      </c>
      <c r="C206" s="20">
        <v>3</v>
      </c>
      <c r="D206" s="18" t="s">
        <v>21</v>
      </c>
      <c r="E206" s="18" t="s">
        <v>19</v>
      </c>
      <c r="F206" s="18" t="s">
        <v>29</v>
      </c>
      <c r="G206" s="21">
        <v>2233.36</v>
      </c>
    </row>
    <row r="207" spans="2:7" x14ac:dyDescent="0.25">
      <c r="B207" s="19">
        <v>41445</v>
      </c>
      <c r="C207" s="20">
        <v>2</v>
      </c>
      <c r="D207" s="18" t="s">
        <v>31</v>
      </c>
      <c r="E207" s="18" t="s">
        <v>28</v>
      </c>
      <c r="F207" s="18" t="s">
        <v>22</v>
      </c>
      <c r="G207" s="21">
        <v>1115.73</v>
      </c>
    </row>
    <row r="208" spans="2:7" x14ac:dyDescent="0.25">
      <c r="B208" s="19">
        <v>41715</v>
      </c>
      <c r="C208" s="20">
        <v>1</v>
      </c>
      <c r="D208" s="18" t="s">
        <v>9</v>
      </c>
      <c r="E208" s="18" t="s">
        <v>26</v>
      </c>
      <c r="F208" s="18" t="s">
        <v>33</v>
      </c>
      <c r="G208" s="21">
        <v>1974.54</v>
      </c>
    </row>
    <row r="209" spans="2:7" x14ac:dyDescent="0.25">
      <c r="B209" s="19">
        <v>41915</v>
      </c>
      <c r="C209" s="20">
        <v>4</v>
      </c>
      <c r="D209" s="18" t="s">
        <v>21</v>
      </c>
      <c r="E209" s="18" t="s">
        <v>19</v>
      </c>
      <c r="F209" s="18" t="s">
        <v>24</v>
      </c>
      <c r="G209" s="21">
        <v>1314.46</v>
      </c>
    </row>
    <row r="210" spans="2:7" x14ac:dyDescent="0.25">
      <c r="B210" s="19">
        <v>41296</v>
      </c>
      <c r="C210" s="20">
        <v>1</v>
      </c>
      <c r="D210" s="18" t="s">
        <v>31</v>
      </c>
      <c r="E210" s="18" t="s">
        <v>28</v>
      </c>
      <c r="F210" s="18" t="s">
        <v>33</v>
      </c>
      <c r="G210" s="21">
        <v>2531.94</v>
      </c>
    </row>
    <row r="211" spans="2:7" x14ac:dyDescent="0.25">
      <c r="B211" s="19">
        <v>41489</v>
      </c>
      <c r="C211" s="20">
        <v>3</v>
      </c>
      <c r="D211" s="18" t="s">
        <v>31</v>
      </c>
      <c r="E211" s="18" t="s">
        <v>28</v>
      </c>
      <c r="F211" s="18" t="s">
        <v>32</v>
      </c>
      <c r="G211" s="21">
        <v>153.74</v>
      </c>
    </row>
    <row r="212" spans="2:7" x14ac:dyDescent="0.25">
      <c r="B212" s="19">
        <v>41305</v>
      </c>
      <c r="C212" s="20">
        <v>1</v>
      </c>
      <c r="D212" s="18" t="s">
        <v>8</v>
      </c>
      <c r="E212" s="18" t="s">
        <v>23</v>
      </c>
      <c r="F212" s="18" t="s">
        <v>24</v>
      </c>
      <c r="G212" s="21">
        <v>794.69</v>
      </c>
    </row>
    <row r="213" spans="2:7" x14ac:dyDescent="0.25">
      <c r="B213" s="19">
        <v>41515</v>
      </c>
      <c r="C213" s="20">
        <v>3</v>
      </c>
      <c r="D213" s="18" t="s">
        <v>9</v>
      </c>
      <c r="E213" s="18" t="s">
        <v>26</v>
      </c>
      <c r="F213" s="18" t="s">
        <v>27</v>
      </c>
      <c r="G213" s="21">
        <v>617.89</v>
      </c>
    </row>
    <row r="214" spans="2:7" x14ac:dyDescent="0.25">
      <c r="B214" s="19">
        <v>41457</v>
      </c>
      <c r="C214" s="20">
        <v>3</v>
      </c>
      <c r="D214" s="18" t="s">
        <v>8</v>
      </c>
      <c r="E214" s="18" t="s">
        <v>23</v>
      </c>
      <c r="F214" s="18" t="s">
        <v>27</v>
      </c>
      <c r="G214" s="21">
        <v>665.03</v>
      </c>
    </row>
    <row r="215" spans="2:7" x14ac:dyDescent="0.25">
      <c r="B215" s="19">
        <v>41812</v>
      </c>
      <c r="C215" s="20">
        <v>2</v>
      </c>
      <c r="D215" s="18" t="s">
        <v>10</v>
      </c>
      <c r="E215" s="18" t="s">
        <v>28</v>
      </c>
      <c r="F215" s="18" t="s">
        <v>27</v>
      </c>
      <c r="G215" s="21">
        <v>1175.3</v>
      </c>
    </row>
    <row r="216" spans="2:7" x14ac:dyDescent="0.25">
      <c r="B216" s="19">
        <v>41386</v>
      </c>
      <c r="C216" s="20">
        <v>2</v>
      </c>
      <c r="D216" s="18" t="s">
        <v>11</v>
      </c>
      <c r="E216" s="18" t="s">
        <v>23</v>
      </c>
      <c r="F216" s="18" t="s">
        <v>27</v>
      </c>
      <c r="G216" s="21">
        <v>678.51</v>
      </c>
    </row>
    <row r="217" spans="2:7" x14ac:dyDescent="0.25">
      <c r="B217" s="19">
        <v>41764</v>
      </c>
      <c r="C217" s="20">
        <v>2</v>
      </c>
      <c r="D217" s="18" t="s">
        <v>9</v>
      </c>
      <c r="E217" s="18" t="s">
        <v>26</v>
      </c>
      <c r="F217" s="18" t="s">
        <v>29</v>
      </c>
      <c r="G217" s="21">
        <v>608.86</v>
      </c>
    </row>
    <row r="218" spans="2:7" x14ac:dyDescent="0.25">
      <c r="B218" s="19">
        <v>41438</v>
      </c>
      <c r="C218" s="20">
        <v>2</v>
      </c>
      <c r="D218" s="18" t="s">
        <v>10</v>
      </c>
      <c r="E218" s="18" t="s">
        <v>28</v>
      </c>
      <c r="F218" s="18" t="s">
        <v>27</v>
      </c>
      <c r="G218" s="21">
        <v>365.52</v>
      </c>
    </row>
    <row r="219" spans="2:7" x14ac:dyDescent="0.25">
      <c r="B219" s="19">
        <v>41293</v>
      </c>
      <c r="C219" s="20">
        <v>1</v>
      </c>
      <c r="D219" s="18" t="s">
        <v>31</v>
      </c>
      <c r="E219" s="18" t="s">
        <v>28</v>
      </c>
      <c r="F219" s="18" t="s">
        <v>20</v>
      </c>
      <c r="G219" s="21">
        <v>228.16</v>
      </c>
    </row>
    <row r="220" spans="2:7" x14ac:dyDescent="0.25">
      <c r="B220" s="19">
        <v>41738</v>
      </c>
      <c r="C220" s="20">
        <v>2</v>
      </c>
      <c r="D220" s="18" t="s">
        <v>18</v>
      </c>
      <c r="E220" s="18" t="s">
        <v>19</v>
      </c>
      <c r="F220" s="18" t="s">
        <v>33</v>
      </c>
      <c r="G220" s="21">
        <v>1634.75</v>
      </c>
    </row>
    <row r="221" spans="2:7" x14ac:dyDescent="0.25">
      <c r="B221" s="19">
        <v>41402</v>
      </c>
      <c r="C221" s="20">
        <v>2</v>
      </c>
      <c r="D221" s="18" t="s">
        <v>31</v>
      </c>
      <c r="E221" s="18" t="s">
        <v>28</v>
      </c>
      <c r="F221" s="18" t="s">
        <v>27</v>
      </c>
      <c r="G221" s="21">
        <v>1685.76</v>
      </c>
    </row>
    <row r="222" spans="2:7" x14ac:dyDescent="0.25">
      <c r="B222" s="19">
        <v>41372</v>
      </c>
      <c r="C222" s="20">
        <v>2</v>
      </c>
      <c r="D222" s="18" t="s">
        <v>11</v>
      </c>
      <c r="E222" s="18" t="s">
        <v>23</v>
      </c>
      <c r="F222" s="18" t="s">
        <v>29</v>
      </c>
      <c r="G222" s="21">
        <v>3031.26</v>
      </c>
    </row>
    <row r="223" spans="2:7" x14ac:dyDescent="0.25">
      <c r="B223" s="19">
        <v>41626</v>
      </c>
      <c r="C223" s="20">
        <v>4</v>
      </c>
      <c r="D223" s="18" t="s">
        <v>8</v>
      </c>
      <c r="E223" s="18" t="s">
        <v>23</v>
      </c>
      <c r="F223" s="18" t="s">
        <v>33</v>
      </c>
      <c r="G223" s="21">
        <v>352.47</v>
      </c>
    </row>
    <row r="224" spans="2:7" x14ac:dyDescent="0.25">
      <c r="B224" s="19">
        <v>41491</v>
      </c>
      <c r="C224" s="20">
        <v>3</v>
      </c>
      <c r="D224" s="18" t="s">
        <v>8</v>
      </c>
      <c r="E224" s="18" t="s">
        <v>23</v>
      </c>
      <c r="F224" s="18" t="s">
        <v>32</v>
      </c>
      <c r="G224" s="21">
        <v>1176.51</v>
      </c>
    </row>
    <row r="225" spans="2:7" x14ac:dyDescent="0.25">
      <c r="B225" s="19">
        <v>41360</v>
      </c>
      <c r="C225" s="20">
        <v>1</v>
      </c>
      <c r="D225" s="18" t="s">
        <v>8</v>
      </c>
      <c r="E225" s="18" t="s">
        <v>23</v>
      </c>
      <c r="F225" s="18" t="s">
        <v>20</v>
      </c>
      <c r="G225" s="21">
        <v>197.1</v>
      </c>
    </row>
    <row r="226" spans="2:7" x14ac:dyDescent="0.25">
      <c r="B226" s="19">
        <v>41401</v>
      </c>
      <c r="C226" s="20">
        <v>2</v>
      </c>
      <c r="D226" s="18" t="s">
        <v>9</v>
      </c>
      <c r="E226" s="18" t="s">
        <v>26</v>
      </c>
      <c r="F226" s="18" t="s">
        <v>30</v>
      </c>
      <c r="G226" s="21">
        <v>2811.39</v>
      </c>
    </row>
    <row r="227" spans="2:7" x14ac:dyDescent="0.25">
      <c r="B227" s="19">
        <v>41482</v>
      </c>
      <c r="C227" s="20">
        <v>3</v>
      </c>
      <c r="D227" s="18" t="s">
        <v>25</v>
      </c>
      <c r="E227" s="18" t="s">
        <v>26</v>
      </c>
      <c r="F227" s="18" t="s">
        <v>32</v>
      </c>
      <c r="G227" s="21">
        <v>978.14</v>
      </c>
    </row>
    <row r="228" spans="2:7" x14ac:dyDescent="0.25">
      <c r="B228" s="19">
        <v>41912</v>
      </c>
      <c r="C228" s="20">
        <v>3</v>
      </c>
      <c r="D228" s="18" t="s">
        <v>18</v>
      </c>
      <c r="E228" s="18" t="s">
        <v>19</v>
      </c>
      <c r="F228" s="18" t="s">
        <v>29</v>
      </c>
      <c r="G228" s="21">
        <v>1564.38</v>
      </c>
    </row>
    <row r="229" spans="2:7" x14ac:dyDescent="0.25">
      <c r="B229" s="19">
        <v>41432</v>
      </c>
      <c r="C229" s="20">
        <v>2</v>
      </c>
      <c r="D229" s="18" t="s">
        <v>11</v>
      </c>
      <c r="E229" s="18" t="s">
        <v>23</v>
      </c>
      <c r="F229" s="18" t="s">
        <v>32</v>
      </c>
      <c r="G229" s="21">
        <v>831.6</v>
      </c>
    </row>
    <row r="230" spans="2:7" x14ac:dyDescent="0.25">
      <c r="B230" s="19">
        <v>41289</v>
      </c>
      <c r="C230" s="20">
        <v>1</v>
      </c>
      <c r="D230" s="18" t="s">
        <v>9</v>
      </c>
      <c r="E230" s="18" t="s">
        <v>26</v>
      </c>
      <c r="F230" s="18" t="s">
        <v>33</v>
      </c>
      <c r="G230" s="21">
        <v>485.55</v>
      </c>
    </row>
    <row r="231" spans="2:7" x14ac:dyDescent="0.25">
      <c r="B231" s="19">
        <v>41855</v>
      </c>
      <c r="C231" s="20">
        <v>3</v>
      </c>
      <c r="D231" s="18" t="s">
        <v>21</v>
      </c>
      <c r="E231" s="18" t="s">
        <v>19</v>
      </c>
      <c r="F231" s="18" t="s">
        <v>24</v>
      </c>
      <c r="G231" s="21">
        <v>1644.03</v>
      </c>
    </row>
    <row r="232" spans="2:7" x14ac:dyDescent="0.25">
      <c r="B232" s="19">
        <v>41896</v>
      </c>
      <c r="C232" s="20">
        <v>3</v>
      </c>
      <c r="D232" s="18" t="s">
        <v>10</v>
      </c>
      <c r="E232" s="18" t="s">
        <v>28</v>
      </c>
      <c r="F232" s="18" t="s">
        <v>32</v>
      </c>
      <c r="G232" s="21">
        <v>840.13</v>
      </c>
    </row>
    <row r="233" spans="2:7" x14ac:dyDescent="0.25">
      <c r="B233" s="19">
        <v>41792</v>
      </c>
      <c r="C233" s="20">
        <v>2</v>
      </c>
      <c r="D233" s="18" t="s">
        <v>21</v>
      </c>
      <c r="E233" s="18" t="s">
        <v>19</v>
      </c>
      <c r="F233" s="18" t="s">
        <v>33</v>
      </c>
      <c r="G233" s="21">
        <v>2961.24</v>
      </c>
    </row>
    <row r="234" spans="2:7" x14ac:dyDescent="0.25">
      <c r="B234" s="19">
        <v>41402</v>
      </c>
      <c r="C234" s="20">
        <v>2</v>
      </c>
      <c r="D234" s="18" t="s">
        <v>31</v>
      </c>
      <c r="E234" s="18" t="s">
        <v>28</v>
      </c>
      <c r="F234" s="18" t="s">
        <v>29</v>
      </c>
      <c r="G234" s="21">
        <v>644.12</v>
      </c>
    </row>
    <row r="235" spans="2:7" x14ac:dyDescent="0.25">
      <c r="B235" s="19">
        <v>41611</v>
      </c>
      <c r="C235" s="20">
        <v>4</v>
      </c>
      <c r="D235" s="18" t="s">
        <v>10</v>
      </c>
      <c r="E235" s="18" t="s">
        <v>28</v>
      </c>
      <c r="F235" s="18" t="s">
        <v>20</v>
      </c>
      <c r="G235" s="21">
        <v>762.24</v>
      </c>
    </row>
    <row r="236" spans="2:7" x14ac:dyDescent="0.25">
      <c r="B236" s="19">
        <v>41569</v>
      </c>
      <c r="C236" s="20">
        <v>4</v>
      </c>
      <c r="D236" s="18" t="s">
        <v>31</v>
      </c>
      <c r="E236" s="18" t="s">
        <v>28</v>
      </c>
      <c r="F236" s="18" t="s">
        <v>24</v>
      </c>
      <c r="G236" s="21">
        <v>1551.25</v>
      </c>
    </row>
    <row r="237" spans="2:7" x14ac:dyDescent="0.25">
      <c r="B237" s="19">
        <v>41695</v>
      </c>
      <c r="C237" s="20">
        <v>1</v>
      </c>
      <c r="D237" s="18" t="s">
        <v>25</v>
      </c>
      <c r="E237" s="18" t="s">
        <v>26</v>
      </c>
      <c r="F237" s="18" t="s">
        <v>29</v>
      </c>
      <c r="G237" s="21">
        <v>2736.86</v>
      </c>
    </row>
    <row r="238" spans="2:7" x14ac:dyDescent="0.25">
      <c r="B238" s="19">
        <v>41698</v>
      </c>
      <c r="C238" s="20">
        <v>1</v>
      </c>
      <c r="D238" s="18" t="s">
        <v>25</v>
      </c>
      <c r="E238" s="18" t="s">
        <v>26</v>
      </c>
      <c r="F238" s="18" t="s">
        <v>33</v>
      </c>
      <c r="G238" s="21">
        <v>1838.09</v>
      </c>
    </row>
    <row r="239" spans="2:7" x14ac:dyDescent="0.25">
      <c r="B239" s="19">
        <v>41659</v>
      </c>
      <c r="C239" s="20">
        <v>1</v>
      </c>
      <c r="D239" s="18" t="s">
        <v>10</v>
      </c>
      <c r="E239" s="18" t="s">
        <v>28</v>
      </c>
      <c r="F239" s="18" t="s">
        <v>22</v>
      </c>
      <c r="G239" s="21">
        <v>1647.31</v>
      </c>
    </row>
    <row r="240" spans="2:7" x14ac:dyDescent="0.25">
      <c r="B240" s="19">
        <v>41648</v>
      </c>
      <c r="C240" s="20">
        <v>1</v>
      </c>
      <c r="D240" s="18" t="s">
        <v>11</v>
      </c>
      <c r="E240" s="18" t="s">
        <v>23</v>
      </c>
      <c r="F240" s="18" t="s">
        <v>22</v>
      </c>
      <c r="G240" s="21">
        <v>1211.8</v>
      </c>
    </row>
    <row r="241" spans="2:7" x14ac:dyDescent="0.25">
      <c r="B241" s="19">
        <v>41763</v>
      </c>
      <c r="C241" s="20">
        <v>2</v>
      </c>
      <c r="D241" s="18" t="s">
        <v>18</v>
      </c>
      <c r="E241" s="18" t="s">
        <v>19</v>
      </c>
      <c r="F241" s="18" t="s">
        <v>33</v>
      </c>
      <c r="G241" s="21">
        <v>228.03</v>
      </c>
    </row>
    <row r="242" spans="2:7" x14ac:dyDescent="0.25">
      <c r="B242" s="19">
        <v>41569</v>
      </c>
      <c r="C242" s="20">
        <v>4</v>
      </c>
      <c r="D242" s="18" t="s">
        <v>10</v>
      </c>
      <c r="E242" s="18" t="s">
        <v>28</v>
      </c>
      <c r="F242" s="18" t="s">
        <v>30</v>
      </c>
      <c r="G242" s="21">
        <v>2221.9899999999998</v>
      </c>
    </row>
    <row r="243" spans="2:7" x14ac:dyDescent="0.25">
      <c r="B243" s="19">
        <v>41629</v>
      </c>
      <c r="C243" s="20">
        <v>4</v>
      </c>
      <c r="D243" s="18" t="s">
        <v>11</v>
      </c>
      <c r="E243" s="18" t="s">
        <v>23</v>
      </c>
      <c r="F243" s="18" t="s">
        <v>29</v>
      </c>
      <c r="G243" s="21">
        <v>1451.54</v>
      </c>
    </row>
    <row r="244" spans="2:7" x14ac:dyDescent="0.25">
      <c r="B244" s="19">
        <v>41364</v>
      </c>
      <c r="C244" s="20">
        <v>1</v>
      </c>
      <c r="D244" s="18" t="s">
        <v>31</v>
      </c>
      <c r="E244" s="18" t="s">
        <v>28</v>
      </c>
      <c r="F244" s="18" t="s">
        <v>22</v>
      </c>
      <c r="G244" s="21">
        <v>1475.45</v>
      </c>
    </row>
    <row r="245" spans="2:7" x14ac:dyDescent="0.25">
      <c r="B245" s="19">
        <v>41965</v>
      </c>
      <c r="C245" s="20">
        <v>4</v>
      </c>
      <c r="D245" s="18" t="s">
        <v>9</v>
      </c>
      <c r="E245" s="18" t="s">
        <v>26</v>
      </c>
      <c r="F245" s="18" t="s">
        <v>24</v>
      </c>
      <c r="G245" s="21">
        <v>696.55</v>
      </c>
    </row>
    <row r="246" spans="2:7" x14ac:dyDescent="0.25">
      <c r="B246" s="19">
        <v>41837</v>
      </c>
      <c r="C246" s="20">
        <v>3</v>
      </c>
      <c r="D246" s="18" t="s">
        <v>11</v>
      </c>
      <c r="E246" s="18" t="s">
        <v>23</v>
      </c>
      <c r="F246" s="18" t="s">
        <v>33</v>
      </c>
      <c r="G246" s="21">
        <v>965.15</v>
      </c>
    </row>
    <row r="247" spans="2:7" x14ac:dyDescent="0.25">
      <c r="B247" s="19">
        <v>41588</v>
      </c>
      <c r="C247" s="20">
        <v>4</v>
      </c>
      <c r="D247" s="18" t="s">
        <v>31</v>
      </c>
      <c r="E247" s="18" t="s">
        <v>28</v>
      </c>
      <c r="F247" s="18" t="s">
        <v>30</v>
      </c>
      <c r="G247" s="21">
        <v>1445.37</v>
      </c>
    </row>
    <row r="248" spans="2:7" x14ac:dyDescent="0.25">
      <c r="B248" s="19">
        <v>41581</v>
      </c>
      <c r="C248" s="20">
        <v>4</v>
      </c>
      <c r="D248" s="18" t="s">
        <v>31</v>
      </c>
      <c r="E248" s="18" t="s">
        <v>28</v>
      </c>
      <c r="F248" s="18" t="s">
        <v>27</v>
      </c>
      <c r="G248" s="21">
        <v>749.86</v>
      </c>
    </row>
    <row r="249" spans="2:7" x14ac:dyDescent="0.25">
      <c r="B249" s="19">
        <v>41722</v>
      </c>
      <c r="C249" s="20">
        <v>1</v>
      </c>
      <c r="D249" s="18" t="s">
        <v>21</v>
      </c>
      <c r="E249" s="18" t="s">
        <v>19</v>
      </c>
      <c r="F249" s="18" t="s">
        <v>22</v>
      </c>
      <c r="G249" s="21">
        <v>1718.87</v>
      </c>
    </row>
    <row r="250" spans="2:7" x14ac:dyDescent="0.25">
      <c r="B250" s="19">
        <v>41444</v>
      </c>
      <c r="C250" s="20">
        <v>2</v>
      </c>
      <c r="D250" s="18" t="s">
        <v>9</v>
      </c>
      <c r="E250" s="18" t="s">
        <v>26</v>
      </c>
      <c r="F250" s="18" t="s">
        <v>30</v>
      </c>
      <c r="G250" s="21">
        <v>2125.2399999999998</v>
      </c>
    </row>
    <row r="251" spans="2:7" x14ac:dyDescent="0.25">
      <c r="B251" s="19">
        <v>41282</v>
      </c>
      <c r="C251" s="20">
        <v>1</v>
      </c>
      <c r="D251" s="18" t="s">
        <v>11</v>
      </c>
      <c r="E251" s="18" t="s">
        <v>23</v>
      </c>
      <c r="F251" s="18" t="s">
        <v>29</v>
      </c>
      <c r="G251" s="21">
        <v>2390.14</v>
      </c>
    </row>
    <row r="252" spans="2:7" x14ac:dyDescent="0.25">
      <c r="B252" s="19">
        <v>41493</v>
      </c>
      <c r="C252" s="20">
        <v>3</v>
      </c>
      <c r="D252" s="18" t="s">
        <v>11</v>
      </c>
      <c r="E252" s="18" t="s">
        <v>23</v>
      </c>
      <c r="F252" s="18" t="s">
        <v>20</v>
      </c>
      <c r="G252" s="21">
        <v>136.81</v>
      </c>
    </row>
    <row r="253" spans="2:7" x14ac:dyDescent="0.25">
      <c r="B253" s="19">
        <v>41938</v>
      </c>
      <c r="C253" s="20">
        <v>4</v>
      </c>
      <c r="D253" s="18" t="s">
        <v>21</v>
      </c>
      <c r="E253" s="18" t="s">
        <v>19</v>
      </c>
      <c r="F253" s="18" t="s">
        <v>27</v>
      </c>
      <c r="G253" s="21">
        <v>988.97</v>
      </c>
    </row>
    <row r="254" spans="2:7" x14ac:dyDescent="0.25">
      <c r="B254" s="19">
        <v>41910</v>
      </c>
      <c r="C254" s="20">
        <v>3</v>
      </c>
      <c r="D254" s="18" t="s">
        <v>11</v>
      </c>
      <c r="E254" s="18" t="s">
        <v>23</v>
      </c>
      <c r="F254" s="18" t="s">
        <v>29</v>
      </c>
      <c r="G254" s="21">
        <v>1125.82</v>
      </c>
    </row>
    <row r="255" spans="2:7" x14ac:dyDescent="0.25">
      <c r="B255" s="19">
        <v>41863</v>
      </c>
      <c r="C255" s="20">
        <v>3</v>
      </c>
      <c r="D255" s="18" t="s">
        <v>25</v>
      </c>
      <c r="E255" s="18" t="s">
        <v>26</v>
      </c>
      <c r="F255" s="18" t="s">
        <v>20</v>
      </c>
      <c r="G255" s="21">
        <v>256.77</v>
      </c>
    </row>
    <row r="256" spans="2:7" x14ac:dyDescent="0.25">
      <c r="B256" s="19">
        <v>41536</v>
      </c>
      <c r="C256" s="20">
        <v>3</v>
      </c>
      <c r="D256" s="18" t="s">
        <v>9</v>
      </c>
      <c r="E256" s="18" t="s">
        <v>26</v>
      </c>
      <c r="F256" s="18" t="s">
        <v>30</v>
      </c>
      <c r="G256" s="21">
        <v>153.68</v>
      </c>
    </row>
    <row r="257" spans="2:7" x14ac:dyDescent="0.25">
      <c r="B257" s="19">
        <v>42003</v>
      </c>
      <c r="C257" s="20">
        <v>4</v>
      </c>
      <c r="D257" s="18" t="s">
        <v>9</v>
      </c>
      <c r="E257" s="18" t="s">
        <v>26</v>
      </c>
      <c r="F257" s="18" t="s">
        <v>20</v>
      </c>
      <c r="G257" s="21">
        <v>534.16</v>
      </c>
    </row>
    <row r="258" spans="2:7" x14ac:dyDescent="0.25">
      <c r="B258" s="19">
        <v>41731</v>
      </c>
      <c r="C258" s="20">
        <v>2</v>
      </c>
      <c r="D258" s="18" t="s">
        <v>18</v>
      </c>
      <c r="E258" s="18" t="s">
        <v>19</v>
      </c>
      <c r="F258" s="18" t="s">
        <v>29</v>
      </c>
      <c r="G258" s="21">
        <v>930.96</v>
      </c>
    </row>
    <row r="259" spans="2:7" x14ac:dyDescent="0.25">
      <c r="B259" s="19">
        <v>41994</v>
      </c>
      <c r="C259" s="20">
        <v>4</v>
      </c>
      <c r="D259" s="18" t="s">
        <v>25</v>
      </c>
      <c r="E259" s="18" t="s">
        <v>26</v>
      </c>
      <c r="F259" s="18" t="s">
        <v>29</v>
      </c>
      <c r="G259" s="21">
        <v>1193.42</v>
      </c>
    </row>
    <row r="260" spans="2:7" x14ac:dyDescent="0.25">
      <c r="B260" s="19">
        <v>41392</v>
      </c>
      <c r="C260" s="20">
        <v>2</v>
      </c>
      <c r="D260" s="18" t="s">
        <v>10</v>
      </c>
      <c r="E260" s="18" t="s">
        <v>28</v>
      </c>
      <c r="F260" s="18" t="s">
        <v>33</v>
      </c>
      <c r="G260" s="21">
        <v>1199.82</v>
      </c>
    </row>
    <row r="261" spans="2:7" x14ac:dyDescent="0.25">
      <c r="B261" s="19">
        <v>41453</v>
      </c>
      <c r="C261" s="20">
        <v>2</v>
      </c>
      <c r="D261" s="18" t="s">
        <v>25</v>
      </c>
      <c r="E261" s="18" t="s">
        <v>26</v>
      </c>
      <c r="F261" s="18" t="s">
        <v>20</v>
      </c>
      <c r="G261" s="21">
        <v>247.9</v>
      </c>
    </row>
    <row r="262" spans="2:7" x14ac:dyDescent="0.25">
      <c r="B262" s="19">
        <v>41870</v>
      </c>
      <c r="C262" s="20">
        <v>3</v>
      </c>
      <c r="D262" s="18" t="s">
        <v>18</v>
      </c>
      <c r="E262" s="18" t="s">
        <v>19</v>
      </c>
      <c r="F262" s="18" t="s">
        <v>27</v>
      </c>
      <c r="G262" s="21">
        <v>1359.57</v>
      </c>
    </row>
    <row r="263" spans="2:7" x14ac:dyDescent="0.25">
      <c r="B263" s="19">
        <v>41849</v>
      </c>
      <c r="C263" s="20">
        <v>3</v>
      </c>
      <c r="D263" s="18" t="s">
        <v>18</v>
      </c>
      <c r="E263" s="18" t="s">
        <v>19</v>
      </c>
      <c r="F263" s="18" t="s">
        <v>32</v>
      </c>
      <c r="G263" s="21">
        <v>1631.28</v>
      </c>
    </row>
    <row r="264" spans="2:7" x14ac:dyDescent="0.25">
      <c r="B264" s="19">
        <v>41723</v>
      </c>
      <c r="C264" s="20">
        <v>1</v>
      </c>
      <c r="D264" s="18" t="s">
        <v>10</v>
      </c>
      <c r="E264" s="18" t="s">
        <v>28</v>
      </c>
      <c r="F264" s="18" t="s">
        <v>33</v>
      </c>
      <c r="G264" s="21">
        <v>1194.1400000000001</v>
      </c>
    </row>
    <row r="265" spans="2:7" x14ac:dyDescent="0.25">
      <c r="B265" s="19">
        <v>41806</v>
      </c>
      <c r="C265" s="20">
        <v>2</v>
      </c>
      <c r="D265" s="18" t="s">
        <v>31</v>
      </c>
      <c r="E265" s="18" t="s">
        <v>28</v>
      </c>
      <c r="F265" s="18" t="s">
        <v>30</v>
      </c>
      <c r="G265" s="21">
        <v>1373.14</v>
      </c>
    </row>
    <row r="266" spans="2:7" x14ac:dyDescent="0.25">
      <c r="B266" s="19">
        <v>41294</v>
      </c>
      <c r="C266" s="20">
        <v>1</v>
      </c>
      <c r="D266" s="18" t="s">
        <v>31</v>
      </c>
      <c r="E266" s="18" t="s">
        <v>28</v>
      </c>
      <c r="F266" s="18" t="s">
        <v>20</v>
      </c>
      <c r="G266" s="21">
        <v>660.09</v>
      </c>
    </row>
    <row r="267" spans="2:7" x14ac:dyDescent="0.25">
      <c r="B267" s="19">
        <v>41607</v>
      </c>
      <c r="C267" s="20">
        <v>4</v>
      </c>
      <c r="D267" s="18" t="s">
        <v>11</v>
      </c>
      <c r="E267" s="18" t="s">
        <v>23</v>
      </c>
      <c r="F267" s="18" t="s">
        <v>22</v>
      </c>
      <c r="G267" s="21">
        <v>320.31</v>
      </c>
    </row>
    <row r="268" spans="2:7" x14ac:dyDescent="0.25">
      <c r="B268" s="19">
        <v>41838</v>
      </c>
      <c r="C268" s="20">
        <v>3</v>
      </c>
      <c r="D268" s="18" t="s">
        <v>21</v>
      </c>
      <c r="E268" s="18" t="s">
        <v>19</v>
      </c>
      <c r="F268" s="18" t="s">
        <v>30</v>
      </c>
      <c r="G268" s="21">
        <v>823.67</v>
      </c>
    </row>
    <row r="269" spans="2:7" x14ac:dyDescent="0.25">
      <c r="B269" s="19">
        <v>41624</v>
      </c>
      <c r="C269" s="20">
        <v>4</v>
      </c>
      <c r="D269" s="18" t="s">
        <v>11</v>
      </c>
      <c r="E269" s="18" t="s">
        <v>23</v>
      </c>
      <c r="F269" s="18" t="s">
        <v>27</v>
      </c>
      <c r="G269" s="21">
        <v>174.67</v>
      </c>
    </row>
    <row r="270" spans="2:7" x14ac:dyDescent="0.25">
      <c r="B270" s="19">
        <v>41735</v>
      </c>
      <c r="C270" s="20">
        <v>2</v>
      </c>
      <c r="D270" s="18" t="s">
        <v>18</v>
      </c>
      <c r="E270" s="18" t="s">
        <v>19</v>
      </c>
      <c r="F270" s="18" t="s">
        <v>30</v>
      </c>
      <c r="G270" s="21">
        <v>1326.42</v>
      </c>
    </row>
    <row r="271" spans="2:7" x14ac:dyDescent="0.25">
      <c r="B271" s="19">
        <v>41453</v>
      </c>
      <c r="C271" s="20">
        <v>2</v>
      </c>
      <c r="D271" s="18" t="s">
        <v>8</v>
      </c>
      <c r="E271" s="18" t="s">
        <v>23</v>
      </c>
      <c r="F271" s="18" t="s">
        <v>33</v>
      </c>
      <c r="G271" s="21">
        <v>2713.56</v>
      </c>
    </row>
    <row r="272" spans="2:7" x14ac:dyDescent="0.25">
      <c r="B272" s="19">
        <v>41362</v>
      </c>
      <c r="C272" s="20">
        <v>1</v>
      </c>
      <c r="D272" s="18" t="s">
        <v>9</v>
      </c>
      <c r="E272" s="18" t="s">
        <v>26</v>
      </c>
      <c r="F272" s="18" t="s">
        <v>22</v>
      </c>
      <c r="G272" s="21">
        <v>1278.56</v>
      </c>
    </row>
    <row r="273" spans="2:7" x14ac:dyDescent="0.25">
      <c r="B273" s="19">
        <v>41784</v>
      </c>
      <c r="C273" s="20">
        <v>2</v>
      </c>
      <c r="D273" s="18" t="s">
        <v>10</v>
      </c>
      <c r="E273" s="18" t="s">
        <v>28</v>
      </c>
      <c r="F273" s="18" t="s">
        <v>30</v>
      </c>
      <c r="G273" s="21">
        <v>692.23</v>
      </c>
    </row>
    <row r="274" spans="2:7" x14ac:dyDescent="0.25">
      <c r="B274" s="19">
        <v>41483</v>
      </c>
      <c r="C274" s="20">
        <v>3</v>
      </c>
      <c r="D274" s="18" t="s">
        <v>11</v>
      </c>
      <c r="E274" s="18" t="s">
        <v>23</v>
      </c>
      <c r="F274" s="18" t="s">
        <v>24</v>
      </c>
      <c r="G274" s="21">
        <v>1010.08</v>
      </c>
    </row>
    <row r="275" spans="2:7" x14ac:dyDescent="0.25">
      <c r="B275" s="19">
        <v>41445</v>
      </c>
      <c r="C275" s="20">
        <v>2</v>
      </c>
      <c r="D275" s="18" t="s">
        <v>21</v>
      </c>
      <c r="E275" s="18" t="s">
        <v>19</v>
      </c>
      <c r="F275" s="18" t="s">
        <v>27</v>
      </c>
      <c r="G275" s="21">
        <v>171.35</v>
      </c>
    </row>
    <row r="276" spans="2:7" x14ac:dyDescent="0.25">
      <c r="B276" s="19">
        <v>41708</v>
      </c>
      <c r="C276" s="20">
        <v>1</v>
      </c>
      <c r="D276" s="18" t="s">
        <v>10</v>
      </c>
      <c r="E276" s="18" t="s">
        <v>28</v>
      </c>
      <c r="F276" s="18" t="s">
        <v>24</v>
      </c>
      <c r="G276" s="21">
        <v>1613.39</v>
      </c>
    </row>
    <row r="277" spans="2:7" x14ac:dyDescent="0.25">
      <c r="B277" s="19">
        <v>41433</v>
      </c>
      <c r="C277" s="20">
        <v>2</v>
      </c>
      <c r="D277" s="18" t="s">
        <v>18</v>
      </c>
      <c r="E277" s="18" t="s">
        <v>19</v>
      </c>
      <c r="F277" s="18" t="s">
        <v>20</v>
      </c>
      <c r="G277" s="21">
        <v>139.28</v>
      </c>
    </row>
    <row r="278" spans="2:7" x14ac:dyDescent="0.25">
      <c r="B278" s="19">
        <v>41594</v>
      </c>
      <c r="C278" s="20">
        <v>4</v>
      </c>
      <c r="D278" s="18" t="s">
        <v>25</v>
      </c>
      <c r="E278" s="18" t="s">
        <v>26</v>
      </c>
      <c r="F278" s="18" t="s">
        <v>29</v>
      </c>
      <c r="G278" s="21">
        <v>1579.3</v>
      </c>
    </row>
    <row r="279" spans="2:7" x14ac:dyDescent="0.25">
      <c r="B279" s="19">
        <v>41693</v>
      </c>
      <c r="C279" s="20">
        <v>1</v>
      </c>
      <c r="D279" s="18" t="s">
        <v>31</v>
      </c>
      <c r="E279" s="18" t="s">
        <v>28</v>
      </c>
      <c r="F279" s="18" t="s">
        <v>27</v>
      </c>
      <c r="G279" s="21">
        <v>1154.1600000000001</v>
      </c>
    </row>
    <row r="280" spans="2:7" x14ac:dyDescent="0.25">
      <c r="B280" s="19">
        <v>41367</v>
      </c>
      <c r="C280" s="20">
        <v>2</v>
      </c>
      <c r="D280" s="18" t="s">
        <v>31</v>
      </c>
      <c r="E280" s="18" t="s">
        <v>28</v>
      </c>
      <c r="F280" s="18" t="s">
        <v>33</v>
      </c>
      <c r="G280" s="21">
        <v>1570.37</v>
      </c>
    </row>
    <row r="281" spans="2:7" x14ac:dyDescent="0.25">
      <c r="B281" s="19">
        <v>41735</v>
      </c>
      <c r="C281" s="20">
        <v>2</v>
      </c>
      <c r="D281" s="18" t="s">
        <v>31</v>
      </c>
      <c r="E281" s="18" t="s">
        <v>28</v>
      </c>
      <c r="F281" s="18" t="s">
        <v>29</v>
      </c>
      <c r="G281" s="21">
        <v>3791.92</v>
      </c>
    </row>
    <row r="282" spans="2:7" x14ac:dyDescent="0.25">
      <c r="B282" s="19">
        <v>41474</v>
      </c>
      <c r="C282" s="20">
        <v>3</v>
      </c>
      <c r="D282" s="18" t="s">
        <v>8</v>
      </c>
      <c r="E282" s="18" t="s">
        <v>23</v>
      </c>
      <c r="F282" s="18" t="s">
        <v>33</v>
      </c>
      <c r="G282" s="21">
        <v>1727</v>
      </c>
    </row>
    <row r="283" spans="2:7" x14ac:dyDescent="0.25">
      <c r="B283" s="19">
        <v>41716</v>
      </c>
      <c r="C283" s="20">
        <v>1</v>
      </c>
      <c r="D283" s="18" t="s">
        <v>11</v>
      </c>
      <c r="E283" s="18" t="s">
        <v>23</v>
      </c>
      <c r="F283" s="18" t="s">
        <v>24</v>
      </c>
      <c r="G283" s="21">
        <v>1341.74</v>
      </c>
    </row>
    <row r="284" spans="2:7" x14ac:dyDescent="0.25">
      <c r="B284" s="19">
        <v>41841</v>
      </c>
      <c r="C284" s="20">
        <v>3</v>
      </c>
      <c r="D284" s="18" t="s">
        <v>11</v>
      </c>
      <c r="E284" s="18" t="s">
        <v>23</v>
      </c>
      <c r="F284" s="18" t="s">
        <v>33</v>
      </c>
      <c r="G284" s="21">
        <v>632.52</v>
      </c>
    </row>
    <row r="285" spans="2:7" x14ac:dyDescent="0.25">
      <c r="B285" s="19">
        <v>41347</v>
      </c>
      <c r="C285" s="20">
        <v>1</v>
      </c>
      <c r="D285" s="18" t="s">
        <v>31</v>
      </c>
      <c r="E285" s="18" t="s">
        <v>28</v>
      </c>
      <c r="F285" s="18" t="s">
        <v>33</v>
      </c>
      <c r="G285" s="21">
        <v>2148.36</v>
      </c>
    </row>
    <row r="286" spans="2:7" x14ac:dyDescent="0.25">
      <c r="B286" s="19">
        <v>41599</v>
      </c>
      <c r="C286" s="20">
        <v>4</v>
      </c>
      <c r="D286" s="18" t="s">
        <v>31</v>
      </c>
      <c r="E286" s="18" t="s">
        <v>28</v>
      </c>
      <c r="F286" s="18" t="s">
        <v>20</v>
      </c>
      <c r="G286" s="21">
        <v>92.36</v>
      </c>
    </row>
    <row r="287" spans="2:7" x14ac:dyDescent="0.25">
      <c r="B287" s="19">
        <v>41696</v>
      </c>
      <c r="C287" s="20">
        <v>1</v>
      </c>
      <c r="D287" s="18" t="s">
        <v>21</v>
      </c>
      <c r="E287" s="18" t="s">
        <v>19</v>
      </c>
      <c r="F287" s="18" t="s">
        <v>24</v>
      </c>
      <c r="G287" s="21">
        <v>1768.59</v>
      </c>
    </row>
    <row r="288" spans="2:7" x14ac:dyDescent="0.25">
      <c r="B288" s="19">
        <v>41952</v>
      </c>
      <c r="C288" s="20">
        <v>4</v>
      </c>
      <c r="D288" s="18" t="s">
        <v>25</v>
      </c>
      <c r="E288" s="18" t="s">
        <v>26</v>
      </c>
      <c r="F288" s="18" t="s">
        <v>24</v>
      </c>
      <c r="G288" s="21">
        <v>953.25</v>
      </c>
    </row>
    <row r="289" spans="2:7" x14ac:dyDescent="0.25">
      <c r="B289" s="19">
        <v>41788</v>
      </c>
      <c r="C289" s="20">
        <v>2</v>
      </c>
      <c r="D289" s="18" t="s">
        <v>8</v>
      </c>
      <c r="E289" s="18" t="s">
        <v>23</v>
      </c>
      <c r="F289" s="18" t="s">
        <v>27</v>
      </c>
      <c r="G289" s="21">
        <v>330.29</v>
      </c>
    </row>
    <row r="290" spans="2:7" x14ac:dyDescent="0.25">
      <c r="B290" s="19">
        <v>41636</v>
      </c>
      <c r="C290" s="20">
        <v>4</v>
      </c>
      <c r="D290" s="18" t="s">
        <v>9</v>
      </c>
      <c r="E290" s="18" t="s">
        <v>26</v>
      </c>
      <c r="F290" s="18" t="s">
        <v>27</v>
      </c>
      <c r="G290" s="21">
        <v>1303.93</v>
      </c>
    </row>
    <row r="291" spans="2:7" x14ac:dyDescent="0.25">
      <c r="B291" s="19">
        <v>41977</v>
      </c>
      <c r="C291" s="20">
        <v>4</v>
      </c>
      <c r="D291" s="18" t="s">
        <v>8</v>
      </c>
      <c r="E291" s="18" t="s">
        <v>23</v>
      </c>
      <c r="F291" s="18" t="s">
        <v>32</v>
      </c>
      <c r="G291" s="21">
        <v>1995.38</v>
      </c>
    </row>
    <row r="292" spans="2:7" x14ac:dyDescent="0.25">
      <c r="B292" s="19">
        <v>41777</v>
      </c>
      <c r="C292" s="20">
        <v>2</v>
      </c>
      <c r="D292" s="18" t="s">
        <v>25</v>
      </c>
      <c r="E292" s="18" t="s">
        <v>26</v>
      </c>
      <c r="F292" s="18" t="s">
        <v>24</v>
      </c>
      <c r="G292" s="21">
        <v>831.83</v>
      </c>
    </row>
    <row r="293" spans="2:7" x14ac:dyDescent="0.25">
      <c r="B293" s="19">
        <v>41785</v>
      </c>
      <c r="C293" s="20">
        <v>2</v>
      </c>
      <c r="D293" s="18" t="s">
        <v>25</v>
      </c>
      <c r="E293" s="18" t="s">
        <v>26</v>
      </c>
      <c r="F293" s="18" t="s">
        <v>29</v>
      </c>
      <c r="G293" s="21">
        <v>1135.7</v>
      </c>
    </row>
    <row r="294" spans="2:7" x14ac:dyDescent="0.25">
      <c r="B294" s="19">
        <v>41904</v>
      </c>
      <c r="C294" s="20">
        <v>3</v>
      </c>
      <c r="D294" s="18" t="s">
        <v>11</v>
      </c>
      <c r="E294" s="18" t="s">
        <v>23</v>
      </c>
      <c r="F294" s="18" t="s">
        <v>20</v>
      </c>
      <c r="G294" s="21">
        <v>456.36</v>
      </c>
    </row>
    <row r="295" spans="2:7" x14ac:dyDescent="0.25">
      <c r="B295" s="19">
        <v>41695</v>
      </c>
      <c r="C295" s="20">
        <v>1</v>
      </c>
      <c r="D295" s="18" t="s">
        <v>25</v>
      </c>
      <c r="E295" s="18" t="s">
        <v>26</v>
      </c>
      <c r="F295" s="18" t="s">
        <v>33</v>
      </c>
      <c r="G295" s="21">
        <v>2242.37</v>
      </c>
    </row>
    <row r="296" spans="2:7" x14ac:dyDescent="0.25">
      <c r="B296" s="19">
        <v>41460</v>
      </c>
      <c r="C296" s="20">
        <v>3</v>
      </c>
      <c r="D296" s="18" t="s">
        <v>31</v>
      </c>
      <c r="E296" s="18" t="s">
        <v>28</v>
      </c>
      <c r="F296" s="18" t="s">
        <v>29</v>
      </c>
      <c r="G296" s="21">
        <v>3881.88</v>
      </c>
    </row>
    <row r="297" spans="2:7" x14ac:dyDescent="0.25">
      <c r="B297" s="19">
        <v>41845</v>
      </c>
      <c r="C297" s="20">
        <v>3</v>
      </c>
      <c r="D297" s="18" t="s">
        <v>11</v>
      </c>
      <c r="E297" s="18" t="s">
        <v>23</v>
      </c>
      <c r="F297" s="18" t="s">
        <v>32</v>
      </c>
      <c r="G297" s="21">
        <v>217.5</v>
      </c>
    </row>
    <row r="298" spans="2:7" x14ac:dyDescent="0.25">
      <c r="B298" s="19">
        <v>41423</v>
      </c>
      <c r="C298" s="20">
        <v>2</v>
      </c>
      <c r="D298" s="18" t="s">
        <v>8</v>
      </c>
      <c r="E298" s="18" t="s">
        <v>23</v>
      </c>
      <c r="F298" s="18" t="s">
        <v>33</v>
      </c>
      <c r="G298" s="21">
        <v>1553.6</v>
      </c>
    </row>
    <row r="299" spans="2:7" x14ac:dyDescent="0.25">
      <c r="B299" s="19">
        <v>41380</v>
      </c>
      <c r="C299" s="20">
        <v>2</v>
      </c>
      <c r="D299" s="18" t="s">
        <v>18</v>
      </c>
      <c r="E299" s="18" t="s">
        <v>19</v>
      </c>
      <c r="F299" s="18" t="s">
        <v>29</v>
      </c>
      <c r="G299" s="21">
        <v>2048.06</v>
      </c>
    </row>
    <row r="300" spans="2:7" x14ac:dyDescent="0.25">
      <c r="B300" s="19">
        <v>41476</v>
      </c>
      <c r="C300" s="20">
        <v>3</v>
      </c>
      <c r="D300" s="18" t="s">
        <v>11</v>
      </c>
      <c r="E300" s="18" t="s">
        <v>23</v>
      </c>
      <c r="F300" s="18" t="s">
        <v>33</v>
      </c>
      <c r="G300" s="21">
        <v>1623.8</v>
      </c>
    </row>
    <row r="301" spans="2:7" x14ac:dyDescent="0.25">
      <c r="B301" s="19">
        <v>41603</v>
      </c>
      <c r="C301" s="20">
        <v>4</v>
      </c>
      <c r="D301" s="18" t="s">
        <v>10</v>
      </c>
      <c r="E301" s="18" t="s">
        <v>28</v>
      </c>
      <c r="F301" s="18" t="s">
        <v>29</v>
      </c>
      <c r="G301" s="21">
        <v>3161.46</v>
      </c>
    </row>
    <row r="302" spans="2:7" x14ac:dyDescent="0.25">
      <c r="B302" s="19">
        <v>41539</v>
      </c>
      <c r="C302" s="20">
        <v>3</v>
      </c>
      <c r="D302" s="18" t="s">
        <v>10</v>
      </c>
      <c r="E302" s="18" t="s">
        <v>28</v>
      </c>
      <c r="F302" s="18" t="s">
        <v>24</v>
      </c>
      <c r="G302" s="21">
        <v>1692.95</v>
      </c>
    </row>
    <row r="303" spans="2:7" x14ac:dyDescent="0.25">
      <c r="B303" s="19">
        <v>41904</v>
      </c>
      <c r="C303" s="20">
        <v>3</v>
      </c>
      <c r="D303" s="18" t="s">
        <v>11</v>
      </c>
      <c r="E303" s="18" t="s">
        <v>23</v>
      </c>
      <c r="F303" s="18" t="s">
        <v>22</v>
      </c>
      <c r="G303" s="21">
        <v>101.85</v>
      </c>
    </row>
    <row r="304" spans="2:7" x14ac:dyDescent="0.25">
      <c r="B304" s="19">
        <v>41817</v>
      </c>
      <c r="C304" s="20">
        <v>2</v>
      </c>
      <c r="D304" s="18" t="s">
        <v>8</v>
      </c>
      <c r="E304" s="18" t="s">
        <v>23</v>
      </c>
      <c r="F304" s="18" t="s">
        <v>29</v>
      </c>
      <c r="G304" s="21">
        <v>361.9</v>
      </c>
    </row>
    <row r="305" spans="2:7" x14ac:dyDescent="0.25">
      <c r="B305" s="19">
        <v>41471</v>
      </c>
      <c r="C305" s="20">
        <v>3</v>
      </c>
      <c r="D305" s="18" t="s">
        <v>21</v>
      </c>
      <c r="E305" s="18" t="s">
        <v>19</v>
      </c>
      <c r="F305" s="18" t="s">
        <v>27</v>
      </c>
      <c r="G305" s="21">
        <v>1371.89</v>
      </c>
    </row>
    <row r="306" spans="2:7" x14ac:dyDescent="0.25">
      <c r="B306" s="19">
        <v>41566</v>
      </c>
      <c r="C306" s="20">
        <v>4</v>
      </c>
      <c r="D306" s="18" t="s">
        <v>18</v>
      </c>
      <c r="E306" s="18" t="s">
        <v>19</v>
      </c>
      <c r="F306" s="18" t="s">
        <v>33</v>
      </c>
      <c r="G306" s="21">
        <v>302.83999999999997</v>
      </c>
    </row>
    <row r="307" spans="2:7" x14ac:dyDescent="0.25">
      <c r="B307" s="19">
        <v>41444</v>
      </c>
      <c r="C307" s="20">
        <v>2</v>
      </c>
      <c r="D307" s="18" t="s">
        <v>8</v>
      </c>
      <c r="E307" s="18" t="s">
        <v>23</v>
      </c>
      <c r="F307" s="18" t="s">
        <v>24</v>
      </c>
      <c r="G307" s="21">
        <v>1322.41</v>
      </c>
    </row>
    <row r="308" spans="2:7" x14ac:dyDescent="0.25">
      <c r="B308" s="19">
        <v>41655</v>
      </c>
      <c r="C308" s="20">
        <v>1</v>
      </c>
      <c r="D308" s="18" t="s">
        <v>10</v>
      </c>
      <c r="E308" s="18" t="s">
        <v>28</v>
      </c>
      <c r="F308" s="18" t="s">
        <v>29</v>
      </c>
      <c r="G308" s="21">
        <v>513.86</v>
      </c>
    </row>
    <row r="309" spans="2:7" x14ac:dyDescent="0.25">
      <c r="B309" s="19">
        <v>41383</v>
      </c>
      <c r="C309" s="20">
        <v>2</v>
      </c>
      <c r="D309" s="18" t="s">
        <v>21</v>
      </c>
      <c r="E309" s="18" t="s">
        <v>19</v>
      </c>
      <c r="F309" s="18" t="s">
        <v>30</v>
      </c>
      <c r="G309" s="21">
        <v>770.27</v>
      </c>
    </row>
    <row r="310" spans="2:7" x14ac:dyDescent="0.25">
      <c r="B310" s="19">
        <v>41812</v>
      </c>
      <c r="C310" s="20">
        <v>2</v>
      </c>
      <c r="D310" s="18" t="s">
        <v>31</v>
      </c>
      <c r="E310" s="18" t="s">
        <v>28</v>
      </c>
      <c r="F310" s="18" t="s">
        <v>27</v>
      </c>
      <c r="G310" s="21">
        <v>222.12</v>
      </c>
    </row>
    <row r="311" spans="2:7" x14ac:dyDescent="0.25">
      <c r="B311" s="19">
        <v>41629</v>
      </c>
      <c r="C311" s="20">
        <v>4</v>
      </c>
      <c r="D311" s="18" t="s">
        <v>9</v>
      </c>
      <c r="E311" s="18" t="s">
        <v>26</v>
      </c>
      <c r="F311" s="18" t="s">
        <v>27</v>
      </c>
      <c r="G311" s="21">
        <v>457.64</v>
      </c>
    </row>
    <row r="312" spans="2:7" x14ac:dyDescent="0.25">
      <c r="B312" s="19">
        <v>41377</v>
      </c>
      <c r="C312" s="20">
        <v>2</v>
      </c>
      <c r="D312" s="18" t="s">
        <v>25</v>
      </c>
      <c r="E312" s="18" t="s">
        <v>26</v>
      </c>
      <c r="F312" s="18" t="s">
        <v>29</v>
      </c>
      <c r="G312" s="21">
        <v>1804.28</v>
      </c>
    </row>
    <row r="313" spans="2:7" x14ac:dyDescent="0.25">
      <c r="B313" s="19">
        <v>41710</v>
      </c>
      <c r="C313" s="20">
        <v>1</v>
      </c>
      <c r="D313" s="18" t="s">
        <v>10</v>
      </c>
      <c r="E313" s="18" t="s">
        <v>28</v>
      </c>
      <c r="F313" s="18" t="s">
        <v>27</v>
      </c>
      <c r="G313" s="21">
        <v>760.86</v>
      </c>
    </row>
    <row r="314" spans="2:7" x14ac:dyDescent="0.25">
      <c r="B314" s="19">
        <v>41999</v>
      </c>
      <c r="C314" s="20">
        <v>4</v>
      </c>
      <c r="D314" s="18" t="s">
        <v>25</v>
      </c>
      <c r="E314" s="18" t="s">
        <v>26</v>
      </c>
      <c r="F314" s="18" t="s">
        <v>20</v>
      </c>
      <c r="G314" s="21">
        <v>159.04</v>
      </c>
    </row>
    <row r="315" spans="2:7" x14ac:dyDescent="0.25">
      <c r="B315" s="19">
        <v>41412</v>
      </c>
      <c r="C315" s="20">
        <v>2</v>
      </c>
      <c r="D315" s="18" t="s">
        <v>18</v>
      </c>
      <c r="E315" s="18" t="s">
        <v>19</v>
      </c>
      <c r="F315" s="18" t="s">
        <v>24</v>
      </c>
      <c r="G315" s="21">
        <v>1845.16</v>
      </c>
    </row>
    <row r="316" spans="2:7" x14ac:dyDescent="0.25">
      <c r="B316" s="19">
        <v>41275</v>
      </c>
      <c r="C316" s="20">
        <v>1</v>
      </c>
      <c r="D316" s="18" t="s">
        <v>10</v>
      </c>
      <c r="E316" s="18" t="s">
        <v>28</v>
      </c>
      <c r="F316" s="18" t="s">
        <v>27</v>
      </c>
      <c r="G316" s="21">
        <v>573.25</v>
      </c>
    </row>
    <row r="317" spans="2:7" x14ac:dyDescent="0.25">
      <c r="B317" s="19">
        <v>41318</v>
      </c>
      <c r="C317" s="20">
        <v>1</v>
      </c>
      <c r="D317" s="18" t="s">
        <v>8</v>
      </c>
      <c r="E317" s="18" t="s">
        <v>23</v>
      </c>
      <c r="F317" s="18" t="s">
        <v>32</v>
      </c>
      <c r="G317" s="21">
        <v>423.24</v>
      </c>
    </row>
    <row r="318" spans="2:7" x14ac:dyDescent="0.25">
      <c r="B318" s="19">
        <v>41886</v>
      </c>
      <c r="C318" s="20">
        <v>3</v>
      </c>
      <c r="D318" s="18" t="s">
        <v>18</v>
      </c>
      <c r="E318" s="18" t="s">
        <v>19</v>
      </c>
      <c r="F318" s="18" t="s">
        <v>32</v>
      </c>
      <c r="G318" s="21">
        <v>897.61</v>
      </c>
    </row>
    <row r="319" spans="2:7" x14ac:dyDescent="0.25">
      <c r="B319" s="19">
        <v>41557</v>
      </c>
      <c r="C319" s="20">
        <v>4</v>
      </c>
      <c r="D319" s="18" t="s">
        <v>9</v>
      </c>
      <c r="E319" s="18" t="s">
        <v>26</v>
      </c>
      <c r="F319" s="18" t="s">
        <v>22</v>
      </c>
      <c r="G319" s="21">
        <v>1234.96</v>
      </c>
    </row>
    <row r="320" spans="2:7" x14ac:dyDescent="0.25">
      <c r="B320" s="19">
        <v>41670</v>
      </c>
      <c r="C320" s="20">
        <v>1</v>
      </c>
      <c r="D320" s="18" t="s">
        <v>8</v>
      </c>
      <c r="E320" s="18" t="s">
        <v>23</v>
      </c>
      <c r="F320" s="18" t="s">
        <v>24</v>
      </c>
      <c r="G320" s="21">
        <v>213.64</v>
      </c>
    </row>
    <row r="321" spans="2:7" x14ac:dyDescent="0.25">
      <c r="B321" s="19">
        <v>41329</v>
      </c>
      <c r="C321" s="20">
        <v>1</v>
      </c>
      <c r="D321" s="18" t="s">
        <v>11</v>
      </c>
      <c r="E321" s="18" t="s">
        <v>23</v>
      </c>
      <c r="F321" s="18" t="s">
        <v>30</v>
      </c>
      <c r="G321" s="21">
        <v>664.56</v>
      </c>
    </row>
    <row r="322" spans="2:7" x14ac:dyDescent="0.25">
      <c r="B322" s="19">
        <v>41921</v>
      </c>
      <c r="C322" s="20">
        <v>4</v>
      </c>
      <c r="D322" s="18" t="s">
        <v>8</v>
      </c>
      <c r="E322" s="18" t="s">
        <v>23</v>
      </c>
      <c r="F322" s="18" t="s">
        <v>22</v>
      </c>
      <c r="G322" s="21">
        <v>1682.92</v>
      </c>
    </row>
    <row r="323" spans="2:7" x14ac:dyDescent="0.25">
      <c r="B323" s="19">
        <v>41754</v>
      </c>
      <c r="C323" s="20">
        <v>2</v>
      </c>
      <c r="D323" s="18" t="s">
        <v>11</v>
      </c>
      <c r="E323" s="18" t="s">
        <v>23</v>
      </c>
      <c r="F323" s="18" t="s">
        <v>30</v>
      </c>
      <c r="G323" s="21">
        <v>535.4</v>
      </c>
    </row>
    <row r="324" spans="2:7" x14ac:dyDescent="0.25">
      <c r="B324" s="19">
        <v>41704</v>
      </c>
      <c r="C324" s="20">
        <v>1</v>
      </c>
      <c r="D324" s="18" t="s">
        <v>25</v>
      </c>
      <c r="E324" s="18" t="s">
        <v>26</v>
      </c>
      <c r="F324" s="18" t="s">
        <v>22</v>
      </c>
      <c r="G324" s="21">
        <v>318.37</v>
      </c>
    </row>
    <row r="325" spans="2:7" x14ac:dyDescent="0.25">
      <c r="B325" s="19">
        <v>41355</v>
      </c>
      <c r="C325" s="20">
        <v>1</v>
      </c>
      <c r="D325" s="18" t="s">
        <v>31</v>
      </c>
      <c r="E325" s="18" t="s">
        <v>28</v>
      </c>
      <c r="F325" s="18" t="s">
        <v>33</v>
      </c>
      <c r="G325" s="21">
        <v>1639.19</v>
      </c>
    </row>
    <row r="326" spans="2:7" x14ac:dyDescent="0.25">
      <c r="B326" s="19">
        <v>41857</v>
      </c>
      <c r="C326" s="20">
        <v>3</v>
      </c>
      <c r="D326" s="18" t="s">
        <v>10</v>
      </c>
      <c r="E326" s="18" t="s">
        <v>28</v>
      </c>
      <c r="F326" s="18" t="s">
        <v>30</v>
      </c>
      <c r="G326" s="21">
        <v>2911.58</v>
      </c>
    </row>
    <row r="327" spans="2:7" x14ac:dyDescent="0.25">
      <c r="B327" s="19">
        <v>41982</v>
      </c>
      <c r="C327" s="20">
        <v>4</v>
      </c>
      <c r="D327" s="18" t="s">
        <v>9</v>
      </c>
      <c r="E327" s="18" t="s">
        <v>26</v>
      </c>
      <c r="F327" s="18" t="s">
        <v>24</v>
      </c>
      <c r="G327" s="21">
        <v>1249.6600000000001</v>
      </c>
    </row>
    <row r="328" spans="2:7" x14ac:dyDescent="0.25">
      <c r="B328" s="19">
        <v>41633</v>
      </c>
      <c r="C328" s="20">
        <v>4</v>
      </c>
      <c r="D328" s="18" t="s">
        <v>31</v>
      </c>
      <c r="E328" s="18" t="s">
        <v>28</v>
      </c>
      <c r="F328" s="18" t="s">
        <v>29</v>
      </c>
      <c r="G328" s="21">
        <v>3277.14</v>
      </c>
    </row>
    <row r="329" spans="2:7" x14ac:dyDescent="0.25">
      <c r="B329" s="19">
        <v>41448</v>
      </c>
      <c r="C329" s="20">
        <v>2</v>
      </c>
      <c r="D329" s="18" t="s">
        <v>10</v>
      </c>
      <c r="E329" s="18" t="s">
        <v>28</v>
      </c>
      <c r="F329" s="18" t="s">
        <v>22</v>
      </c>
      <c r="G329" s="21">
        <v>1176.2</v>
      </c>
    </row>
    <row r="330" spans="2:7" x14ac:dyDescent="0.25">
      <c r="B330" s="19">
        <v>41360</v>
      </c>
      <c r="C330" s="20">
        <v>1</v>
      </c>
      <c r="D330" s="18" t="s">
        <v>9</v>
      </c>
      <c r="E330" s="18" t="s">
        <v>26</v>
      </c>
      <c r="F330" s="18" t="s">
        <v>27</v>
      </c>
      <c r="G330" s="21">
        <v>1839.51</v>
      </c>
    </row>
    <row r="331" spans="2:7" x14ac:dyDescent="0.25">
      <c r="B331" s="19">
        <v>41829</v>
      </c>
      <c r="C331" s="20">
        <v>3</v>
      </c>
      <c r="D331" s="18" t="s">
        <v>31</v>
      </c>
      <c r="E331" s="18" t="s">
        <v>28</v>
      </c>
      <c r="F331" s="18" t="s">
        <v>20</v>
      </c>
      <c r="G331" s="21">
        <v>557.04</v>
      </c>
    </row>
    <row r="332" spans="2:7" x14ac:dyDescent="0.25">
      <c r="B332" s="19">
        <v>41860</v>
      </c>
      <c r="C332" s="20">
        <v>3</v>
      </c>
      <c r="D332" s="18" t="s">
        <v>25</v>
      </c>
      <c r="E332" s="18" t="s">
        <v>26</v>
      </c>
      <c r="F332" s="18" t="s">
        <v>32</v>
      </c>
      <c r="G332" s="21">
        <v>1444.71</v>
      </c>
    </row>
    <row r="333" spans="2:7" x14ac:dyDescent="0.25">
      <c r="B333" s="19">
        <v>41660</v>
      </c>
      <c r="C333" s="20">
        <v>1</v>
      </c>
      <c r="D333" s="18" t="s">
        <v>31</v>
      </c>
      <c r="E333" s="18" t="s">
        <v>28</v>
      </c>
      <c r="F333" s="18" t="s">
        <v>20</v>
      </c>
      <c r="G333" s="21">
        <v>231.78</v>
      </c>
    </row>
    <row r="334" spans="2:7" x14ac:dyDescent="0.25">
      <c r="B334" s="19">
        <v>41734</v>
      </c>
      <c r="C334" s="20">
        <v>2</v>
      </c>
      <c r="D334" s="18" t="s">
        <v>31</v>
      </c>
      <c r="E334" s="18" t="s">
        <v>28</v>
      </c>
      <c r="F334" s="18" t="s">
        <v>33</v>
      </c>
      <c r="G334" s="21">
        <v>621.99</v>
      </c>
    </row>
    <row r="335" spans="2:7" x14ac:dyDescent="0.25">
      <c r="B335" s="19">
        <v>41903</v>
      </c>
      <c r="C335" s="20">
        <v>3</v>
      </c>
      <c r="D335" s="18" t="s">
        <v>10</v>
      </c>
      <c r="E335" s="18" t="s">
        <v>28</v>
      </c>
      <c r="F335" s="18" t="s">
        <v>33</v>
      </c>
      <c r="G335" s="21">
        <v>1618.37</v>
      </c>
    </row>
    <row r="336" spans="2:7" x14ac:dyDescent="0.25">
      <c r="B336" s="19">
        <v>41955</v>
      </c>
      <c r="C336" s="20">
        <v>4</v>
      </c>
      <c r="D336" s="18" t="s">
        <v>18</v>
      </c>
      <c r="E336" s="18" t="s">
        <v>19</v>
      </c>
      <c r="F336" s="18" t="s">
        <v>32</v>
      </c>
      <c r="G336" s="21">
        <v>1676.33</v>
      </c>
    </row>
    <row r="337" spans="2:7" x14ac:dyDescent="0.25">
      <c r="B337" s="19">
        <v>41295</v>
      </c>
      <c r="C337" s="20">
        <v>1</v>
      </c>
      <c r="D337" s="18" t="s">
        <v>18</v>
      </c>
      <c r="E337" s="18" t="s">
        <v>19</v>
      </c>
      <c r="F337" s="18" t="s">
        <v>27</v>
      </c>
      <c r="G337" s="21">
        <v>374.51</v>
      </c>
    </row>
    <row r="338" spans="2:7" x14ac:dyDescent="0.25">
      <c r="B338" s="19">
        <v>41431</v>
      </c>
      <c r="C338" s="20">
        <v>2</v>
      </c>
      <c r="D338" s="18" t="s">
        <v>21</v>
      </c>
      <c r="E338" s="18" t="s">
        <v>19</v>
      </c>
      <c r="F338" s="18" t="s">
        <v>33</v>
      </c>
      <c r="G338" s="21">
        <v>519.15</v>
      </c>
    </row>
    <row r="339" spans="2:7" x14ac:dyDescent="0.25">
      <c r="B339" s="19">
        <v>41513</v>
      </c>
      <c r="C339" s="20">
        <v>3</v>
      </c>
      <c r="D339" s="18" t="s">
        <v>18</v>
      </c>
      <c r="E339" s="18" t="s">
        <v>19</v>
      </c>
      <c r="F339" s="18" t="s">
        <v>29</v>
      </c>
      <c r="G339" s="21">
        <v>2909.54</v>
      </c>
    </row>
    <row r="340" spans="2:7" x14ac:dyDescent="0.25">
      <c r="B340" s="19">
        <v>41462</v>
      </c>
      <c r="C340" s="20">
        <v>3</v>
      </c>
      <c r="D340" s="18" t="s">
        <v>31</v>
      </c>
      <c r="E340" s="18" t="s">
        <v>28</v>
      </c>
      <c r="F340" s="18" t="s">
        <v>29</v>
      </c>
      <c r="G340" s="21">
        <v>2566.54</v>
      </c>
    </row>
    <row r="341" spans="2:7" x14ac:dyDescent="0.25">
      <c r="B341" s="19">
        <v>41581</v>
      </c>
      <c r="C341" s="20">
        <v>4</v>
      </c>
      <c r="D341" s="18" t="s">
        <v>11</v>
      </c>
      <c r="E341" s="18" t="s">
        <v>23</v>
      </c>
      <c r="F341" s="18" t="s">
        <v>29</v>
      </c>
      <c r="G341" s="21">
        <v>1595.28</v>
      </c>
    </row>
    <row r="342" spans="2:7" x14ac:dyDescent="0.25">
      <c r="B342" s="19">
        <v>41437</v>
      </c>
      <c r="C342" s="20">
        <v>2</v>
      </c>
      <c r="D342" s="18" t="s">
        <v>8</v>
      </c>
      <c r="E342" s="18" t="s">
        <v>23</v>
      </c>
      <c r="F342" s="18" t="s">
        <v>33</v>
      </c>
      <c r="G342" s="21">
        <v>349.26</v>
      </c>
    </row>
    <row r="343" spans="2:7" x14ac:dyDescent="0.25">
      <c r="B343" s="19">
        <v>41949</v>
      </c>
      <c r="C343" s="20">
        <v>4</v>
      </c>
      <c r="D343" s="18" t="s">
        <v>9</v>
      </c>
      <c r="E343" s="18" t="s">
        <v>26</v>
      </c>
      <c r="F343" s="18" t="s">
        <v>24</v>
      </c>
      <c r="G343" s="21">
        <v>247.06</v>
      </c>
    </row>
    <row r="344" spans="2:7" x14ac:dyDescent="0.25">
      <c r="B344" s="19">
        <v>41833</v>
      </c>
      <c r="C344" s="20">
        <v>3</v>
      </c>
      <c r="D344" s="18" t="s">
        <v>18</v>
      </c>
      <c r="E344" s="18" t="s">
        <v>19</v>
      </c>
      <c r="F344" s="18" t="s">
        <v>30</v>
      </c>
      <c r="G344" s="21">
        <v>1164.03</v>
      </c>
    </row>
    <row r="345" spans="2:7" x14ac:dyDescent="0.25">
      <c r="B345" s="19">
        <v>41391</v>
      </c>
      <c r="C345" s="20">
        <v>2</v>
      </c>
      <c r="D345" s="18" t="s">
        <v>8</v>
      </c>
      <c r="E345" s="18" t="s">
        <v>23</v>
      </c>
      <c r="F345" s="18" t="s">
        <v>27</v>
      </c>
      <c r="G345" s="21">
        <v>688.79</v>
      </c>
    </row>
    <row r="346" spans="2:7" x14ac:dyDescent="0.25">
      <c r="B346" s="19">
        <v>41490</v>
      </c>
      <c r="C346" s="20">
        <v>3</v>
      </c>
      <c r="D346" s="18" t="s">
        <v>31</v>
      </c>
      <c r="E346" s="18" t="s">
        <v>28</v>
      </c>
      <c r="F346" s="18" t="s">
        <v>24</v>
      </c>
      <c r="G346" s="21">
        <v>230.87</v>
      </c>
    </row>
    <row r="347" spans="2:7" x14ac:dyDescent="0.25">
      <c r="B347" s="19">
        <v>41286</v>
      </c>
      <c r="C347" s="20">
        <v>1</v>
      </c>
      <c r="D347" s="18" t="s">
        <v>9</v>
      </c>
      <c r="E347" s="18" t="s">
        <v>26</v>
      </c>
      <c r="F347" s="18" t="s">
        <v>33</v>
      </c>
      <c r="G347" s="21">
        <v>2895.36</v>
      </c>
    </row>
    <row r="348" spans="2:7" x14ac:dyDescent="0.25">
      <c r="B348" s="19">
        <v>41946</v>
      </c>
      <c r="C348" s="20">
        <v>4</v>
      </c>
      <c r="D348" s="18" t="s">
        <v>25</v>
      </c>
      <c r="E348" s="18" t="s">
        <v>26</v>
      </c>
      <c r="F348" s="18" t="s">
        <v>32</v>
      </c>
      <c r="G348" s="21">
        <v>298.02999999999997</v>
      </c>
    </row>
    <row r="349" spans="2:7" x14ac:dyDescent="0.25">
      <c r="B349" s="19">
        <v>41602</v>
      </c>
      <c r="C349" s="20">
        <v>4</v>
      </c>
      <c r="D349" s="18" t="s">
        <v>11</v>
      </c>
      <c r="E349" s="18" t="s">
        <v>23</v>
      </c>
      <c r="F349" s="18" t="s">
        <v>30</v>
      </c>
      <c r="G349" s="21">
        <v>1536.63</v>
      </c>
    </row>
    <row r="350" spans="2:7" x14ac:dyDescent="0.25">
      <c r="B350" s="19">
        <v>41648</v>
      </c>
      <c r="C350" s="20">
        <v>1</v>
      </c>
      <c r="D350" s="18" t="s">
        <v>10</v>
      </c>
      <c r="E350" s="18" t="s">
        <v>28</v>
      </c>
      <c r="F350" s="18" t="s">
        <v>27</v>
      </c>
      <c r="G350" s="21">
        <v>1353.92</v>
      </c>
    </row>
    <row r="351" spans="2:7" x14ac:dyDescent="0.25">
      <c r="B351" s="19">
        <v>41480</v>
      </c>
      <c r="C351" s="20">
        <v>3</v>
      </c>
      <c r="D351" s="18" t="s">
        <v>8</v>
      </c>
      <c r="E351" s="18" t="s">
        <v>23</v>
      </c>
      <c r="F351" s="18" t="s">
        <v>33</v>
      </c>
      <c r="G351" s="21">
        <v>1759.11</v>
      </c>
    </row>
    <row r="352" spans="2:7" x14ac:dyDescent="0.25">
      <c r="B352" s="19">
        <v>41337</v>
      </c>
      <c r="C352" s="20">
        <v>1</v>
      </c>
      <c r="D352" s="18" t="s">
        <v>18</v>
      </c>
      <c r="E352" s="18" t="s">
        <v>19</v>
      </c>
      <c r="F352" s="18" t="s">
        <v>22</v>
      </c>
      <c r="G352" s="21">
        <v>624.54999999999995</v>
      </c>
    </row>
    <row r="353" spans="2:7" x14ac:dyDescent="0.25">
      <c r="B353" s="19">
        <v>41427</v>
      </c>
      <c r="C353" s="20">
        <v>2</v>
      </c>
      <c r="D353" s="18" t="s">
        <v>11</v>
      </c>
      <c r="E353" s="18" t="s">
        <v>23</v>
      </c>
      <c r="F353" s="18" t="s">
        <v>30</v>
      </c>
      <c r="G353" s="21">
        <v>640.22</v>
      </c>
    </row>
    <row r="354" spans="2:7" x14ac:dyDescent="0.25">
      <c r="B354" s="19">
        <v>41911</v>
      </c>
      <c r="C354" s="20">
        <v>3</v>
      </c>
      <c r="D354" s="18" t="s">
        <v>10</v>
      </c>
      <c r="E354" s="18" t="s">
        <v>28</v>
      </c>
      <c r="F354" s="18" t="s">
        <v>27</v>
      </c>
      <c r="G354" s="21">
        <v>583.41</v>
      </c>
    </row>
    <row r="355" spans="2:7" x14ac:dyDescent="0.25">
      <c r="B355" s="19">
        <v>41760</v>
      </c>
      <c r="C355" s="20">
        <v>2</v>
      </c>
      <c r="D355" s="18" t="s">
        <v>25</v>
      </c>
      <c r="E355" s="18" t="s">
        <v>26</v>
      </c>
      <c r="F355" s="18" t="s">
        <v>20</v>
      </c>
      <c r="G355" s="21">
        <v>330.12</v>
      </c>
    </row>
    <row r="356" spans="2:7" x14ac:dyDescent="0.25">
      <c r="B356" s="19">
        <v>41407</v>
      </c>
      <c r="C356" s="20">
        <v>2</v>
      </c>
      <c r="D356" s="18" t="s">
        <v>11</v>
      </c>
      <c r="E356" s="18" t="s">
        <v>23</v>
      </c>
      <c r="F356" s="18" t="s">
        <v>32</v>
      </c>
      <c r="G356" s="21">
        <v>815.84</v>
      </c>
    </row>
    <row r="357" spans="2:7" x14ac:dyDescent="0.25">
      <c r="B357" s="19">
        <v>41339</v>
      </c>
      <c r="C357" s="20">
        <v>1</v>
      </c>
      <c r="D357" s="18" t="s">
        <v>11</v>
      </c>
      <c r="E357" s="18" t="s">
        <v>23</v>
      </c>
      <c r="F357" s="18" t="s">
        <v>20</v>
      </c>
      <c r="G357" s="21">
        <v>146.80000000000001</v>
      </c>
    </row>
    <row r="358" spans="2:7" x14ac:dyDescent="0.25">
      <c r="B358" s="19">
        <v>41360</v>
      </c>
      <c r="C358" s="20">
        <v>1</v>
      </c>
      <c r="D358" s="18" t="s">
        <v>18</v>
      </c>
      <c r="E358" s="18" t="s">
        <v>19</v>
      </c>
      <c r="F358" s="18" t="s">
        <v>30</v>
      </c>
      <c r="G358" s="21">
        <v>2348.2399999999998</v>
      </c>
    </row>
    <row r="359" spans="2:7" x14ac:dyDescent="0.25">
      <c r="B359" s="19">
        <v>41366</v>
      </c>
      <c r="C359" s="20">
        <v>2</v>
      </c>
      <c r="D359" s="18" t="s">
        <v>10</v>
      </c>
      <c r="E359" s="18" t="s">
        <v>28</v>
      </c>
      <c r="F359" s="18" t="s">
        <v>33</v>
      </c>
      <c r="G359" s="21">
        <v>677.93</v>
      </c>
    </row>
    <row r="360" spans="2:7" x14ac:dyDescent="0.25">
      <c r="B360" s="19">
        <v>41634</v>
      </c>
      <c r="C360" s="20">
        <v>4</v>
      </c>
      <c r="D360" s="18" t="s">
        <v>8</v>
      </c>
      <c r="E360" s="18" t="s">
        <v>23</v>
      </c>
      <c r="F360" s="18" t="s">
        <v>30</v>
      </c>
      <c r="G360" s="21">
        <v>453.03</v>
      </c>
    </row>
    <row r="361" spans="2:7" x14ac:dyDescent="0.25">
      <c r="B361" s="19">
        <v>41729</v>
      </c>
      <c r="C361" s="20">
        <v>1</v>
      </c>
      <c r="D361" s="18" t="s">
        <v>11</v>
      </c>
      <c r="E361" s="18" t="s">
        <v>23</v>
      </c>
      <c r="F361" s="18" t="s">
        <v>27</v>
      </c>
      <c r="G361" s="21">
        <v>430.53</v>
      </c>
    </row>
    <row r="362" spans="2:7" x14ac:dyDescent="0.25">
      <c r="B362" s="19">
        <v>41471</v>
      </c>
      <c r="C362" s="20">
        <v>3</v>
      </c>
      <c r="D362" s="18" t="s">
        <v>21</v>
      </c>
      <c r="E362" s="18" t="s">
        <v>19</v>
      </c>
      <c r="F362" s="18" t="s">
        <v>22</v>
      </c>
      <c r="G362" s="21">
        <v>858.44</v>
      </c>
    </row>
    <row r="363" spans="2:7" x14ac:dyDescent="0.25">
      <c r="B363" s="19">
        <v>41422</v>
      </c>
      <c r="C363" s="20">
        <v>2</v>
      </c>
      <c r="D363" s="18" t="s">
        <v>21</v>
      </c>
      <c r="E363" s="18" t="s">
        <v>19</v>
      </c>
      <c r="F363" s="18" t="s">
        <v>29</v>
      </c>
      <c r="G363" s="21">
        <v>3721.68</v>
      </c>
    </row>
    <row r="364" spans="2:7" x14ac:dyDescent="0.25">
      <c r="B364" s="19">
        <v>41680</v>
      </c>
      <c r="C364" s="20">
        <v>1</v>
      </c>
      <c r="D364" s="18" t="s">
        <v>18</v>
      </c>
      <c r="E364" s="18" t="s">
        <v>19</v>
      </c>
      <c r="F364" s="18" t="s">
        <v>33</v>
      </c>
      <c r="G364" s="21">
        <v>1272.26</v>
      </c>
    </row>
    <row r="365" spans="2:7" x14ac:dyDescent="0.25">
      <c r="B365" s="19">
        <v>41964</v>
      </c>
      <c r="C365" s="20">
        <v>4</v>
      </c>
      <c r="D365" s="18" t="s">
        <v>9</v>
      </c>
      <c r="E365" s="18" t="s">
        <v>26</v>
      </c>
      <c r="F365" s="18" t="s">
        <v>30</v>
      </c>
      <c r="G365" s="21">
        <v>1228.44</v>
      </c>
    </row>
    <row r="366" spans="2:7" x14ac:dyDescent="0.25">
      <c r="B366" s="19">
        <v>41918</v>
      </c>
      <c r="C366" s="20">
        <v>4</v>
      </c>
      <c r="D366" s="18" t="s">
        <v>21</v>
      </c>
      <c r="E366" s="18" t="s">
        <v>19</v>
      </c>
      <c r="F366" s="18" t="s">
        <v>29</v>
      </c>
      <c r="G366" s="21">
        <v>2190.2199999999998</v>
      </c>
    </row>
    <row r="367" spans="2:7" x14ac:dyDescent="0.25">
      <c r="B367" s="19">
        <v>41761</v>
      </c>
      <c r="C367" s="20">
        <v>2</v>
      </c>
      <c r="D367" s="18" t="s">
        <v>25</v>
      </c>
      <c r="E367" s="18" t="s">
        <v>26</v>
      </c>
      <c r="F367" s="18" t="s">
        <v>22</v>
      </c>
      <c r="G367" s="21">
        <v>118.63</v>
      </c>
    </row>
    <row r="368" spans="2:7" x14ac:dyDescent="0.25">
      <c r="B368" s="19">
        <v>41318</v>
      </c>
      <c r="C368" s="20">
        <v>1</v>
      </c>
      <c r="D368" s="18" t="s">
        <v>21</v>
      </c>
      <c r="E368" s="18" t="s">
        <v>19</v>
      </c>
      <c r="F368" s="18" t="s">
        <v>29</v>
      </c>
      <c r="G368" s="21">
        <v>3445.62</v>
      </c>
    </row>
    <row r="369" spans="2:7" x14ac:dyDescent="0.25">
      <c r="B369" s="19">
        <v>41391</v>
      </c>
      <c r="C369" s="20">
        <v>2</v>
      </c>
      <c r="D369" s="18" t="s">
        <v>21</v>
      </c>
      <c r="E369" s="18" t="s">
        <v>19</v>
      </c>
      <c r="F369" s="18" t="s">
        <v>32</v>
      </c>
      <c r="G369" s="21">
        <v>1714.73</v>
      </c>
    </row>
    <row r="370" spans="2:7" x14ac:dyDescent="0.25">
      <c r="B370" s="19">
        <v>41389</v>
      </c>
      <c r="C370" s="20">
        <v>2</v>
      </c>
      <c r="D370" s="18" t="s">
        <v>11</v>
      </c>
      <c r="E370" s="18" t="s">
        <v>23</v>
      </c>
      <c r="F370" s="18" t="s">
        <v>32</v>
      </c>
      <c r="G370" s="21">
        <v>1415.38</v>
      </c>
    </row>
    <row r="371" spans="2:7" x14ac:dyDescent="0.25">
      <c r="B371" s="19">
        <v>41422</v>
      </c>
      <c r="C371" s="20">
        <v>2</v>
      </c>
      <c r="D371" s="18" t="s">
        <v>11</v>
      </c>
      <c r="E371" s="18" t="s">
        <v>23</v>
      </c>
      <c r="F371" s="18" t="s">
        <v>33</v>
      </c>
      <c r="G371" s="21">
        <v>2608.5300000000002</v>
      </c>
    </row>
    <row r="372" spans="2:7" x14ac:dyDescent="0.25">
      <c r="B372" s="19">
        <v>41716</v>
      </c>
      <c r="C372" s="20">
        <v>1</v>
      </c>
      <c r="D372" s="18" t="s">
        <v>9</v>
      </c>
      <c r="E372" s="18" t="s">
        <v>26</v>
      </c>
      <c r="F372" s="18" t="s">
        <v>32</v>
      </c>
      <c r="G372" s="21">
        <v>1538.43</v>
      </c>
    </row>
    <row r="373" spans="2:7" x14ac:dyDescent="0.25">
      <c r="B373" s="19">
        <v>41463</v>
      </c>
      <c r="C373" s="20">
        <v>3</v>
      </c>
      <c r="D373" s="18" t="s">
        <v>21</v>
      </c>
      <c r="E373" s="18" t="s">
        <v>19</v>
      </c>
      <c r="F373" s="18" t="s">
        <v>24</v>
      </c>
      <c r="G373" s="21">
        <v>418.85</v>
      </c>
    </row>
    <row r="374" spans="2:7" x14ac:dyDescent="0.25">
      <c r="B374" s="19">
        <v>41673</v>
      </c>
      <c r="C374" s="20">
        <v>1</v>
      </c>
      <c r="D374" s="18" t="s">
        <v>18</v>
      </c>
      <c r="E374" s="18" t="s">
        <v>19</v>
      </c>
      <c r="F374" s="18" t="s">
        <v>32</v>
      </c>
      <c r="G374" s="21">
        <v>1953.66</v>
      </c>
    </row>
    <row r="375" spans="2:7" x14ac:dyDescent="0.25">
      <c r="B375" s="19">
        <v>41779</v>
      </c>
      <c r="C375" s="20">
        <v>2</v>
      </c>
      <c r="D375" s="18" t="s">
        <v>31</v>
      </c>
      <c r="E375" s="18" t="s">
        <v>28</v>
      </c>
      <c r="F375" s="18" t="s">
        <v>29</v>
      </c>
      <c r="G375" s="21">
        <v>2888.58</v>
      </c>
    </row>
    <row r="376" spans="2:7" x14ac:dyDescent="0.25">
      <c r="B376" s="19">
        <v>41554</v>
      </c>
      <c r="C376" s="20">
        <v>4</v>
      </c>
      <c r="D376" s="18" t="s">
        <v>25</v>
      </c>
      <c r="E376" s="18" t="s">
        <v>26</v>
      </c>
      <c r="F376" s="18" t="s">
        <v>29</v>
      </c>
      <c r="G376" s="21">
        <v>3794.16</v>
      </c>
    </row>
    <row r="377" spans="2:7" x14ac:dyDescent="0.25">
      <c r="B377" s="19">
        <v>41614</v>
      </c>
      <c r="C377" s="20">
        <v>4</v>
      </c>
      <c r="D377" s="18" t="s">
        <v>25</v>
      </c>
      <c r="E377" s="18" t="s">
        <v>26</v>
      </c>
      <c r="F377" s="18" t="s">
        <v>22</v>
      </c>
      <c r="G377" s="21">
        <v>321.5</v>
      </c>
    </row>
    <row r="378" spans="2:7" x14ac:dyDescent="0.25">
      <c r="B378" s="19">
        <v>41355</v>
      </c>
      <c r="C378" s="20">
        <v>1</v>
      </c>
      <c r="D378" s="18" t="s">
        <v>31</v>
      </c>
      <c r="E378" s="18" t="s">
        <v>28</v>
      </c>
      <c r="F378" s="18" t="s">
        <v>20</v>
      </c>
      <c r="G378" s="21">
        <v>797.57</v>
      </c>
    </row>
    <row r="379" spans="2:7" x14ac:dyDescent="0.25">
      <c r="B379" s="19">
        <v>41649</v>
      </c>
      <c r="C379" s="20">
        <v>1</v>
      </c>
      <c r="D379" s="18" t="s">
        <v>9</v>
      </c>
      <c r="E379" s="18" t="s">
        <v>26</v>
      </c>
      <c r="F379" s="18" t="s">
        <v>27</v>
      </c>
      <c r="G379" s="21">
        <v>451.83</v>
      </c>
    </row>
    <row r="380" spans="2:7" x14ac:dyDescent="0.25">
      <c r="B380" s="19">
        <v>41366</v>
      </c>
      <c r="C380" s="20">
        <v>2</v>
      </c>
      <c r="D380" s="18" t="s">
        <v>18</v>
      </c>
      <c r="E380" s="18" t="s">
        <v>19</v>
      </c>
      <c r="F380" s="18" t="s">
        <v>32</v>
      </c>
      <c r="G380" s="21">
        <v>1480.31</v>
      </c>
    </row>
    <row r="381" spans="2:7" x14ac:dyDescent="0.25">
      <c r="B381" s="19">
        <v>41513</v>
      </c>
      <c r="C381" s="20">
        <v>3</v>
      </c>
      <c r="D381" s="18" t="s">
        <v>9</v>
      </c>
      <c r="E381" s="18" t="s">
        <v>26</v>
      </c>
      <c r="F381" s="18" t="s">
        <v>20</v>
      </c>
      <c r="G381" s="21">
        <v>362.72</v>
      </c>
    </row>
    <row r="382" spans="2:7" x14ac:dyDescent="0.25">
      <c r="B382" s="19">
        <v>41894</v>
      </c>
      <c r="C382" s="20">
        <v>3</v>
      </c>
      <c r="D382" s="18" t="s">
        <v>21</v>
      </c>
      <c r="E382" s="18" t="s">
        <v>19</v>
      </c>
      <c r="F382" s="18" t="s">
        <v>27</v>
      </c>
      <c r="G382" s="21">
        <v>1943.54</v>
      </c>
    </row>
    <row r="383" spans="2:7" x14ac:dyDescent="0.25">
      <c r="B383" s="19">
        <v>41303</v>
      </c>
      <c r="C383" s="20">
        <v>1</v>
      </c>
      <c r="D383" s="18" t="s">
        <v>10</v>
      </c>
      <c r="E383" s="18" t="s">
        <v>28</v>
      </c>
      <c r="F383" s="18" t="s">
        <v>33</v>
      </c>
      <c r="G383" s="21">
        <v>741.95</v>
      </c>
    </row>
    <row r="384" spans="2:7" x14ac:dyDescent="0.25">
      <c r="B384" s="19">
        <v>41330</v>
      </c>
      <c r="C384" s="20">
        <v>1</v>
      </c>
      <c r="D384" s="18" t="s">
        <v>11</v>
      </c>
      <c r="E384" s="18" t="s">
        <v>23</v>
      </c>
      <c r="F384" s="18" t="s">
        <v>27</v>
      </c>
      <c r="G384" s="21">
        <v>1049.24</v>
      </c>
    </row>
    <row r="385" spans="2:7" x14ac:dyDescent="0.25">
      <c r="B385" s="19">
        <v>41834</v>
      </c>
      <c r="C385" s="20">
        <v>3</v>
      </c>
      <c r="D385" s="18" t="s">
        <v>18</v>
      </c>
      <c r="E385" s="18" t="s">
        <v>19</v>
      </c>
      <c r="F385" s="18" t="s">
        <v>20</v>
      </c>
      <c r="G385" s="21">
        <v>302.27999999999997</v>
      </c>
    </row>
    <row r="386" spans="2:7" x14ac:dyDescent="0.25">
      <c r="B386" s="19">
        <v>41579</v>
      </c>
      <c r="C386" s="20">
        <v>4</v>
      </c>
      <c r="D386" s="18" t="s">
        <v>31</v>
      </c>
      <c r="E386" s="18" t="s">
        <v>28</v>
      </c>
      <c r="F386" s="18" t="s">
        <v>29</v>
      </c>
      <c r="G386" s="21">
        <v>2867.7</v>
      </c>
    </row>
    <row r="387" spans="2:7" x14ac:dyDescent="0.25">
      <c r="B387" s="19">
        <v>41990</v>
      </c>
      <c r="C387" s="20">
        <v>4</v>
      </c>
      <c r="D387" s="18" t="s">
        <v>21</v>
      </c>
      <c r="E387" s="18" t="s">
        <v>19</v>
      </c>
      <c r="F387" s="18" t="s">
        <v>30</v>
      </c>
      <c r="G387" s="21">
        <v>2294.71</v>
      </c>
    </row>
    <row r="388" spans="2:7" x14ac:dyDescent="0.25">
      <c r="B388" s="19">
        <v>41734</v>
      </c>
      <c r="C388" s="20">
        <v>2</v>
      </c>
      <c r="D388" s="18" t="s">
        <v>18</v>
      </c>
      <c r="E388" s="18" t="s">
        <v>19</v>
      </c>
      <c r="F388" s="18" t="s">
        <v>22</v>
      </c>
      <c r="G388" s="21">
        <v>1060.6500000000001</v>
      </c>
    </row>
    <row r="389" spans="2:7" x14ac:dyDescent="0.25">
      <c r="B389" s="19">
        <v>41970</v>
      </c>
      <c r="C389" s="20">
        <v>4</v>
      </c>
      <c r="D389" s="18" t="s">
        <v>8</v>
      </c>
      <c r="E389" s="18" t="s">
        <v>23</v>
      </c>
      <c r="F389" s="18" t="s">
        <v>20</v>
      </c>
      <c r="G389" s="21">
        <v>334.68</v>
      </c>
    </row>
    <row r="390" spans="2:7" x14ac:dyDescent="0.25">
      <c r="B390" s="19">
        <v>41303</v>
      </c>
      <c r="C390" s="20">
        <v>1</v>
      </c>
      <c r="D390" s="18" t="s">
        <v>11</v>
      </c>
      <c r="E390" s="18" t="s">
        <v>23</v>
      </c>
      <c r="F390" s="18" t="s">
        <v>29</v>
      </c>
      <c r="G390" s="21">
        <v>3838.4</v>
      </c>
    </row>
    <row r="391" spans="2:7" x14ac:dyDescent="0.25">
      <c r="B391" s="19">
        <v>41602</v>
      </c>
      <c r="C391" s="20">
        <v>4</v>
      </c>
      <c r="D391" s="18" t="s">
        <v>21</v>
      </c>
      <c r="E391" s="18" t="s">
        <v>19</v>
      </c>
      <c r="F391" s="18" t="s">
        <v>33</v>
      </c>
      <c r="G391" s="21">
        <v>2230.3200000000002</v>
      </c>
    </row>
    <row r="392" spans="2:7" x14ac:dyDescent="0.25">
      <c r="B392" s="19">
        <v>41608</v>
      </c>
      <c r="C392" s="20">
        <v>4</v>
      </c>
      <c r="D392" s="18" t="s">
        <v>18</v>
      </c>
      <c r="E392" s="18" t="s">
        <v>19</v>
      </c>
      <c r="F392" s="18" t="s">
        <v>20</v>
      </c>
      <c r="G392" s="21">
        <v>364.24</v>
      </c>
    </row>
    <row r="393" spans="2:7" x14ac:dyDescent="0.25">
      <c r="B393" s="19">
        <v>41445</v>
      </c>
      <c r="C393" s="20">
        <v>2</v>
      </c>
      <c r="D393" s="18" t="s">
        <v>10</v>
      </c>
      <c r="E393" s="18" t="s">
        <v>28</v>
      </c>
      <c r="F393" s="18" t="s">
        <v>32</v>
      </c>
      <c r="G393" s="21">
        <v>1077.5899999999999</v>
      </c>
    </row>
    <row r="394" spans="2:7" x14ac:dyDescent="0.25">
      <c r="B394" s="19">
        <v>41322</v>
      </c>
      <c r="C394" s="20">
        <v>1</v>
      </c>
      <c r="D394" s="18" t="s">
        <v>21</v>
      </c>
      <c r="E394" s="18" t="s">
        <v>19</v>
      </c>
      <c r="F394" s="18" t="s">
        <v>32</v>
      </c>
      <c r="G394" s="21">
        <v>1685.5</v>
      </c>
    </row>
    <row r="395" spans="2:7" x14ac:dyDescent="0.25">
      <c r="B395" s="19">
        <v>41836</v>
      </c>
      <c r="C395" s="20">
        <v>3</v>
      </c>
      <c r="D395" s="18" t="s">
        <v>8</v>
      </c>
      <c r="E395" s="18" t="s">
        <v>23</v>
      </c>
      <c r="F395" s="18" t="s">
        <v>30</v>
      </c>
      <c r="G395" s="21">
        <v>2344.42</v>
      </c>
    </row>
    <row r="396" spans="2:7" x14ac:dyDescent="0.25">
      <c r="B396" s="19">
        <v>41731</v>
      </c>
      <c r="C396" s="20">
        <v>2</v>
      </c>
      <c r="D396" s="18" t="s">
        <v>21</v>
      </c>
      <c r="E396" s="18" t="s">
        <v>19</v>
      </c>
      <c r="F396" s="18" t="s">
        <v>20</v>
      </c>
      <c r="G396" s="21">
        <v>426.75</v>
      </c>
    </row>
    <row r="397" spans="2:7" x14ac:dyDescent="0.25">
      <c r="B397" s="19">
        <v>41614</v>
      </c>
      <c r="C397" s="20">
        <v>4</v>
      </c>
      <c r="D397" s="18" t="s">
        <v>25</v>
      </c>
      <c r="E397" s="18" t="s">
        <v>26</v>
      </c>
      <c r="F397" s="18" t="s">
        <v>20</v>
      </c>
      <c r="G397" s="21">
        <v>795.06</v>
      </c>
    </row>
    <row r="398" spans="2:7" x14ac:dyDescent="0.25">
      <c r="B398" s="19">
        <v>41459</v>
      </c>
      <c r="C398" s="20">
        <v>3</v>
      </c>
      <c r="D398" s="18" t="s">
        <v>31</v>
      </c>
      <c r="E398" s="18" t="s">
        <v>28</v>
      </c>
      <c r="F398" s="18" t="s">
        <v>22</v>
      </c>
      <c r="G398" s="21">
        <v>1868</v>
      </c>
    </row>
    <row r="399" spans="2:7" x14ac:dyDescent="0.25">
      <c r="B399" s="19">
        <v>41962</v>
      </c>
      <c r="C399" s="20">
        <v>4</v>
      </c>
      <c r="D399" s="18" t="s">
        <v>8</v>
      </c>
      <c r="E399" s="18" t="s">
        <v>23</v>
      </c>
      <c r="F399" s="18" t="s">
        <v>20</v>
      </c>
      <c r="G399" s="21">
        <v>714.59</v>
      </c>
    </row>
    <row r="400" spans="2:7" x14ac:dyDescent="0.25">
      <c r="B400" s="19">
        <v>41295</v>
      </c>
      <c r="C400" s="20">
        <v>1</v>
      </c>
      <c r="D400" s="18" t="s">
        <v>10</v>
      </c>
      <c r="E400" s="18" t="s">
        <v>28</v>
      </c>
      <c r="F400" s="18" t="s">
        <v>27</v>
      </c>
      <c r="G400" s="21">
        <v>489</v>
      </c>
    </row>
    <row r="401" spans="2:7" x14ac:dyDescent="0.25">
      <c r="B401" s="19">
        <v>41702</v>
      </c>
      <c r="C401" s="20">
        <v>1</v>
      </c>
      <c r="D401" s="18" t="s">
        <v>31</v>
      </c>
      <c r="E401" s="18" t="s">
        <v>28</v>
      </c>
      <c r="F401" s="18" t="s">
        <v>24</v>
      </c>
      <c r="G401" s="21">
        <v>324.25</v>
      </c>
    </row>
    <row r="402" spans="2:7" x14ac:dyDescent="0.25">
      <c r="B402" s="19">
        <v>41866</v>
      </c>
      <c r="C402" s="20">
        <v>3</v>
      </c>
      <c r="D402" s="18" t="s">
        <v>11</v>
      </c>
      <c r="E402" s="18" t="s">
        <v>23</v>
      </c>
      <c r="F402" s="18" t="s">
        <v>22</v>
      </c>
      <c r="G402" s="21">
        <v>1812.63</v>
      </c>
    </row>
    <row r="403" spans="2:7" x14ac:dyDescent="0.25">
      <c r="B403" s="19">
        <v>41923</v>
      </c>
      <c r="C403" s="20">
        <v>4</v>
      </c>
      <c r="D403" s="18" t="s">
        <v>25</v>
      </c>
      <c r="E403" s="18" t="s">
        <v>26</v>
      </c>
      <c r="F403" s="18" t="s">
        <v>22</v>
      </c>
      <c r="G403" s="21">
        <v>1969.21</v>
      </c>
    </row>
    <row r="404" spans="2:7" x14ac:dyDescent="0.25">
      <c r="B404" s="19">
        <v>41513</v>
      </c>
      <c r="C404" s="20">
        <v>3</v>
      </c>
      <c r="D404" s="18" t="s">
        <v>8</v>
      </c>
      <c r="E404" s="18" t="s">
        <v>23</v>
      </c>
      <c r="F404" s="18" t="s">
        <v>32</v>
      </c>
      <c r="G404" s="21">
        <v>1695.95</v>
      </c>
    </row>
    <row r="405" spans="2:7" x14ac:dyDescent="0.25">
      <c r="B405" s="19">
        <v>41970</v>
      </c>
      <c r="C405" s="20">
        <v>4</v>
      </c>
      <c r="D405" s="18" t="s">
        <v>18</v>
      </c>
      <c r="E405" s="18" t="s">
        <v>19</v>
      </c>
      <c r="F405" s="18" t="s">
        <v>24</v>
      </c>
      <c r="G405" s="21">
        <v>601.13</v>
      </c>
    </row>
    <row r="406" spans="2:7" x14ac:dyDescent="0.25">
      <c r="B406" s="19">
        <v>41787</v>
      </c>
      <c r="C406" s="20">
        <v>2</v>
      </c>
      <c r="D406" s="18" t="s">
        <v>31</v>
      </c>
      <c r="E406" s="18" t="s">
        <v>28</v>
      </c>
      <c r="F406" s="18" t="s">
        <v>20</v>
      </c>
      <c r="G406" s="21">
        <v>171.26</v>
      </c>
    </row>
    <row r="407" spans="2:7" x14ac:dyDescent="0.25">
      <c r="B407" s="19">
        <v>41815</v>
      </c>
      <c r="C407" s="20">
        <v>2</v>
      </c>
      <c r="D407" s="18" t="s">
        <v>9</v>
      </c>
      <c r="E407" s="18" t="s">
        <v>26</v>
      </c>
      <c r="F407" s="18" t="s">
        <v>22</v>
      </c>
      <c r="G407" s="21">
        <v>368.54</v>
      </c>
    </row>
    <row r="408" spans="2:7" x14ac:dyDescent="0.25">
      <c r="B408" s="19">
        <v>41506</v>
      </c>
      <c r="C408" s="20">
        <v>3</v>
      </c>
      <c r="D408" s="18" t="s">
        <v>8</v>
      </c>
      <c r="E408" s="18" t="s">
        <v>23</v>
      </c>
      <c r="F408" s="18" t="s">
        <v>30</v>
      </c>
      <c r="G408" s="21">
        <v>2861.97</v>
      </c>
    </row>
    <row r="409" spans="2:7" x14ac:dyDescent="0.25">
      <c r="B409" s="19">
        <v>41712</v>
      </c>
      <c r="C409" s="20">
        <v>1</v>
      </c>
      <c r="D409" s="18" t="s">
        <v>25</v>
      </c>
      <c r="E409" s="18" t="s">
        <v>26</v>
      </c>
      <c r="F409" s="18" t="s">
        <v>20</v>
      </c>
      <c r="G409" s="21">
        <v>254</v>
      </c>
    </row>
    <row r="410" spans="2:7" x14ac:dyDescent="0.25">
      <c r="B410" s="19">
        <v>41373</v>
      </c>
      <c r="C410" s="20">
        <v>2</v>
      </c>
      <c r="D410" s="18" t="s">
        <v>9</v>
      </c>
      <c r="E410" s="18" t="s">
        <v>26</v>
      </c>
      <c r="F410" s="18" t="s">
        <v>29</v>
      </c>
      <c r="G410" s="21">
        <v>3445.24</v>
      </c>
    </row>
    <row r="411" spans="2:7" x14ac:dyDescent="0.25">
      <c r="B411" s="19">
        <v>41463</v>
      </c>
      <c r="C411" s="20">
        <v>3</v>
      </c>
      <c r="D411" s="18" t="s">
        <v>31</v>
      </c>
      <c r="E411" s="18" t="s">
        <v>28</v>
      </c>
      <c r="F411" s="18" t="s">
        <v>27</v>
      </c>
      <c r="G411" s="21">
        <v>179.38</v>
      </c>
    </row>
    <row r="412" spans="2:7" x14ac:dyDescent="0.25">
      <c r="B412" s="19">
        <v>41761</v>
      </c>
      <c r="C412" s="20">
        <v>2</v>
      </c>
      <c r="D412" s="18" t="s">
        <v>31</v>
      </c>
      <c r="E412" s="18" t="s">
        <v>28</v>
      </c>
      <c r="F412" s="18" t="s">
        <v>33</v>
      </c>
      <c r="G412" s="21">
        <v>982.38</v>
      </c>
    </row>
    <row r="413" spans="2:7" x14ac:dyDescent="0.25">
      <c r="B413" s="19">
        <v>41581</v>
      </c>
      <c r="C413" s="20">
        <v>4</v>
      </c>
      <c r="D413" s="18" t="s">
        <v>10</v>
      </c>
      <c r="E413" s="18" t="s">
        <v>28</v>
      </c>
      <c r="F413" s="18" t="s">
        <v>33</v>
      </c>
      <c r="G413" s="21">
        <v>764.43</v>
      </c>
    </row>
    <row r="414" spans="2:7" x14ac:dyDescent="0.25">
      <c r="B414" s="19">
        <v>41396</v>
      </c>
      <c r="C414" s="20">
        <v>2</v>
      </c>
      <c r="D414" s="18" t="s">
        <v>25</v>
      </c>
      <c r="E414" s="18" t="s">
        <v>26</v>
      </c>
      <c r="F414" s="18" t="s">
        <v>24</v>
      </c>
      <c r="G414" s="21">
        <v>317.95</v>
      </c>
    </row>
    <row r="415" spans="2:7" x14ac:dyDescent="0.25">
      <c r="B415" s="19">
        <v>41692</v>
      </c>
      <c r="C415" s="20">
        <v>1</v>
      </c>
      <c r="D415" s="18" t="s">
        <v>8</v>
      </c>
      <c r="E415" s="18" t="s">
        <v>23</v>
      </c>
      <c r="F415" s="18" t="s">
        <v>32</v>
      </c>
      <c r="G415" s="21">
        <v>1650.81</v>
      </c>
    </row>
    <row r="416" spans="2:7" x14ac:dyDescent="0.25">
      <c r="B416" s="19">
        <v>41792</v>
      </c>
      <c r="C416" s="20">
        <v>2</v>
      </c>
      <c r="D416" s="18" t="s">
        <v>21</v>
      </c>
      <c r="E416" s="18" t="s">
        <v>19</v>
      </c>
      <c r="F416" s="18" t="s">
        <v>29</v>
      </c>
      <c r="G416" s="21">
        <v>2141.8200000000002</v>
      </c>
    </row>
    <row r="417" spans="2:7" x14ac:dyDescent="0.25">
      <c r="B417" s="19">
        <v>41402</v>
      </c>
      <c r="C417" s="20">
        <v>2</v>
      </c>
      <c r="D417" s="18" t="s">
        <v>8</v>
      </c>
      <c r="E417" s="18" t="s">
        <v>23</v>
      </c>
      <c r="F417" s="18" t="s">
        <v>33</v>
      </c>
      <c r="G417" s="21">
        <v>1501.34</v>
      </c>
    </row>
    <row r="418" spans="2:7" x14ac:dyDescent="0.25">
      <c r="B418" s="19">
        <v>41307</v>
      </c>
      <c r="C418" s="20">
        <v>1</v>
      </c>
      <c r="D418" s="18" t="s">
        <v>21</v>
      </c>
      <c r="E418" s="18" t="s">
        <v>19</v>
      </c>
      <c r="F418" s="18" t="s">
        <v>22</v>
      </c>
      <c r="G418" s="21">
        <v>627.72</v>
      </c>
    </row>
    <row r="419" spans="2:7" x14ac:dyDescent="0.25">
      <c r="B419" s="19">
        <v>41993</v>
      </c>
      <c r="C419" s="20">
        <v>4</v>
      </c>
      <c r="D419" s="18" t="s">
        <v>10</v>
      </c>
      <c r="E419" s="18" t="s">
        <v>28</v>
      </c>
      <c r="F419" s="18" t="s">
        <v>29</v>
      </c>
      <c r="G419" s="21">
        <v>3159.24</v>
      </c>
    </row>
    <row r="420" spans="2:7" x14ac:dyDescent="0.25">
      <c r="B420" s="19">
        <v>41367</v>
      </c>
      <c r="C420" s="20">
        <v>2</v>
      </c>
      <c r="D420" s="18" t="s">
        <v>8</v>
      </c>
      <c r="E420" s="18" t="s">
        <v>23</v>
      </c>
      <c r="F420" s="18" t="s">
        <v>30</v>
      </c>
      <c r="G420" s="21">
        <v>1261.55</v>
      </c>
    </row>
    <row r="421" spans="2:7" x14ac:dyDescent="0.25">
      <c r="B421" s="19">
        <v>41823</v>
      </c>
      <c r="C421" s="20">
        <v>3</v>
      </c>
      <c r="D421" s="18" t="s">
        <v>18</v>
      </c>
      <c r="E421" s="18" t="s">
        <v>19</v>
      </c>
      <c r="F421" s="18" t="s">
        <v>30</v>
      </c>
      <c r="G421" s="21">
        <v>581.63</v>
      </c>
    </row>
    <row r="422" spans="2:7" x14ac:dyDescent="0.25">
      <c r="B422" s="19">
        <v>41967</v>
      </c>
      <c r="C422" s="20">
        <v>4</v>
      </c>
      <c r="D422" s="18" t="s">
        <v>8</v>
      </c>
      <c r="E422" s="18" t="s">
        <v>23</v>
      </c>
      <c r="F422" s="18" t="s">
        <v>32</v>
      </c>
      <c r="G422" s="21">
        <v>1888.58</v>
      </c>
    </row>
    <row r="423" spans="2:7" x14ac:dyDescent="0.25">
      <c r="B423" s="19">
        <v>41447</v>
      </c>
      <c r="C423" s="20">
        <v>2</v>
      </c>
      <c r="D423" s="18" t="s">
        <v>31</v>
      </c>
      <c r="E423" s="18" t="s">
        <v>28</v>
      </c>
      <c r="F423" s="18" t="s">
        <v>24</v>
      </c>
      <c r="G423" s="21">
        <v>1429</v>
      </c>
    </row>
    <row r="424" spans="2:7" x14ac:dyDescent="0.25">
      <c r="B424" s="19">
        <v>41310</v>
      </c>
      <c r="C424" s="20">
        <v>1</v>
      </c>
      <c r="D424" s="18" t="s">
        <v>31</v>
      </c>
      <c r="E424" s="18" t="s">
        <v>28</v>
      </c>
      <c r="F424" s="18" t="s">
        <v>27</v>
      </c>
      <c r="G424" s="21">
        <v>1649.68</v>
      </c>
    </row>
    <row r="425" spans="2:7" x14ac:dyDescent="0.25">
      <c r="B425" s="19">
        <v>41545</v>
      </c>
      <c r="C425" s="20">
        <v>3</v>
      </c>
      <c r="D425" s="18" t="s">
        <v>25</v>
      </c>
      <c r="E425" s="18" t="s">
        <v>26</v>
      </c>
      <c r="F425" s="18" t="s">
        <v>20</v>
      </c>
      <c r="G425" s="21">
        <v>676.16</v>
      </c>
    </row>
    <row r="426" spans="2:7" x14ac:dyDescent="0.25">
      <c r="B426" s="19">
        <v>41545</v>
      </c>
      <c r="C426" s="20">
        <v>3</v>
      </c>
      <c r="D426" s="18" t="s">
        <v>21</v>
      </c>
      <c r="E426" s="18" t="s">
        <v>19</v>
      </c>
      <c r="F426" s="18" t="s">
        <v>33</v>
      </c>
      <c r="G426" s="21">
        <v>1956</v>
      </c>
    </row>
    <row r="427" spans="2:7" x14ac:dyDescent="0.25">
      <c r="B427" s="19">
        <v>41935</v>
      </c>
      <c r="C427" s="20">
        <v>4</v>
      </c>
      <c r="D427" s="18" t="s">
        <v>8</v>
      </c>
      <c r="E427" s="18" t="s">
        <v>23</v>
      </c>
      <c r="F427" s="18" t="s">
        <v>22</v>
      </c>
      <c r="G427" s="21">
        <v>1735.35</v>
      </c>
    </row>
    <row r="428" spans="2:7" x14ac:dyDescent="0.25">
      <c r="B428" s="19">
        <v>41519</v>
      </c>
      <c r="C428" s="20">
        <v>3</v>
      </c>
      <c r="D428" s="18" t="s">
        <v>31</v>
      </c>
      <c r="E428" s="18" t="s">
        <v>28</v>
      </c>
      <c r="F428" s="18" t="s">
        <v>32</v>
      </c>
      <c r="G428" s="21">
        <v>1576.26</v>
      </c>
    </row>
    <row r="429" spans="2:7" x14ac:dyDescent="0.25">
      <c r="B429" s="19">
        <v>41637</v>
      </c>
      <c r="C429" s="20">
        <v>4</v>
      </c>
      <c r="D429" s="18" t="s">
        <v>8</v>
      </c>
      <c r="E429" s="18" t="s">
        <v>23</v>
      </c>
      <c r="F429" s="18" t="s">
        <v>30</v>
      </c>
      <c r="G429" s="21">
        <v>483.36</v>
      </c>
    </row>
    <row r="430" spans="2:7" x14ac:dyDescent="0.25">
      <c r="B430" s="19">
        <v>41869</v>
      </c>
      <c r="C430" s="20">
        <v>3</v>
      </c>
      <c r="D430" s="18" t="s">
        <v>10</v>
      </c>
      <c r="E430" s="18" t="s">
        <v>28</v>
      </c>
      <c r="F430" s="18" t="s">
        <v>27</v>
      </c>
      <c r="G430" s="21">
        <v>1480.36</v>
      </c>
    </row>
    <row r="431" spans="2:7" x14ac:dyDescent="0.25">
      <c r="B431" s="19">
        <v>41338</v>
      </c>
      <c r="C431" s="20">
        <v>1</v>
      </c>
      <c r="D431" s="18" t="s">
        <v>18</v>
      </c>
      <c r="E431" s="18" t="s">
        <v>19</v>
      </c>
      <c r="F431" s="18" t="s">
        <v>29</v>
      </c>
      <c r="G431" s="21">
        <v>1248.0999999999999</v>
      </c>
    </row>
    <row r="432" spans="2:7" x14ac:dyDescent="0.25">
      <c r="B432" s="19">
        <v>41433</v>
      </c>
      <c r="C432" s="20">
        <v>2</v>
      </c>
      <c r="D432" s="18" t="s">
        <v>18</v>
      </c>
      <c r="E432" s="18" t="s">
        <v>19</v>
      </c>
      <c r="F432" s="18" t="s">
        <v>20</v>
      </c>
      <c r="G432" s="21">
        <v>560.54999999999995</v>
      </c>
    </row>
    <row r="433" spans="2:7" x14ac:dyDescent="0.25">
      <c r="B433" s="19">
        <v>41816</v>
      </c>
      <c r="C433" s="20">
        <v>2</v>
      </c>
      <c r="D433" s="18" t="s">
        <v>31</v>
      </c>
      <c r="E433" s="18" t="s">
        <v>28</v>
      </c>
      <c r="F433" s="18" t="s">
        <v>32</v>
      </c>
      <c r="G433" s="21">
        <v>327.04000000000002</v>
      </c>
    </row>
    <row r="434" spans="2:7" x14ac:dyDescent="0.25">
      <c r="B434" s="19">
        <v>41702</v>
      </c>
      <c r="C434" s="20">
        <v>1</v>
      </c>
      <c r="D434" s="18" t="s">
        <v>8</v>
      </c>
      <c r="E434" s="18" t="s">
        <v>23</v>
      </c>
      <c r="F434" s="18" t="s">
        <v>27</v>
      </c>
      <c r="G434" s="21">
        <v>935.28</v>
      </c>
    </row>
    <row r="435" spans="2:7" x14ac:dyDescent="0.25">
      <c r="B435" s="19">
        <v>41472</v>
      </c>
      <c r="C435" s="20">
        <v>3</v>
      </c>
      <c r="D435" s="18" t="s">
        <v>9</v>
      </c>
      <c r="E435" s="18" t="s">
        <v>26</v>
      </c>
      <c r="F435" s="18" t="s">
        <v>30</v>
      </c>
      <c r="G435" s="21">
        <v>2125.16</v>
      </c>
    </row>
    <row r="436" spans="2:7" x14ac:dyDescent="0.25">
      <c r="B436" s="19">
        <v>41846</v>
      </c>
      <c r="C436" s="20">
        <v>3</v>
      </c>
      <c r="D436" s="18" t="s">
        <v>31</v>
      </c>
      <c r="E436" s="18" t="s">
        <v>28</v>
      </c>
      <c r="F436" s="18" t="s">
        <v>24</v>
      </c>
      <c r="G436" s="21">
        <v>612.45000000000005</v>
      </c>
    </row>
    <row r="437" spans="2:7" x14ac:dyDescent="0.25">
      <c r="B437" s="19">
        <v>41722</v>
      </c>
      <c r="C437" s="20">
        <v>1</v>
      </c>
      <c r="D437" s="18" t="s">
        <v>10</v>
      </c>
      <c r="E437" s="18" t="s">
        <v>28</v>
      </c>
      <c r="F437" s="18" t="s">
        <v>30</v>
      </c>
      <c r="G437" s="21">
        <v>2867.1</v>
      </c>
    </row>
    <row r="438" spans="2:7" x14ac:dyDescent="0.25">
      <c r="B438" s="19">
        <v>41465</v>
      </c>
      <c r="C438" s="20">
        <v>3</v>
      </c>
      <c r="D438" s="18" t="s">
        <v>8</v>
      </c>
      <c r="E438" s="18" t="s">
        <v>23</v>
      </c>
      <c r="F438" s="18" t="s">
        <v>27</v>
      </c>
      <c r="G438" s="21">
        <v>525.73</v>
      </c>
    </row>
    <row r="439" spans="2:7" x14ac:dyDescent="0.25">
      <c r="B439" s="19">
        <v>41304</v>
      </c>
      <c r="C439" s="20">
        <v>1</v>
      </c>
      <c r="D439" s="18" t="s">
        <v>8</v>
      </c>
      <c r="E439" s="18" t="s">
        <v>23</v>
      </c>
      <c r="F439" s="18" t="s">
        <v>24</v>
      </c>
      <c r="G439" s="21">
        <v>443.65</v>
      </c>
    </row>
    <row r="440" spans="2:7" x14ac:dyDescent="0.25">
      <c r="B440" s="19">
        <v>41982</v>
      </c>
      <c r="C440" s="20">
        <v>4</v>
      </c>
      <c r="D440" s="18" t="s">
        <v>31</v>
      </c>
      <c r="E440" s="18" t="s">
        <v>28</v>
      </c>
      <c r="F440" s="18" t="s">
        <v>22</v>
      </c>
      <c r="G440" s="21">
        <v>278.68</v>
      </c>
    </row>
    <row r="441" spans="2:7" x14ac:dyDescent="0.25">
      <c r="B441" s="19">
        <v>41740</v>
      </c>
      <c r="C441" s="20">
        <v>2</v>
      </c>
      <c r="D441" s="18" t="s">
        <v>31</v>
      </c>
      <c r="E441" s="18" t="s">
        <v>28</v>
      </c>
      <c r="F441" s="18" t="s">
        <v>32</v>
      </c>
      <c r="G441" s="21">
        <v>840.25</v>
      </c>
    </row>
    <row r="442" spans="2:7" x14ac:dyDescent="0.25">
      <c r="B442" s="19">
        <v>41373</v>
      </c>
      <c r="C442" s="20">
        <v>2</v>
      </c>
      <c r="D442" s="18" t="s">
        <v>11</v>
      </c>
      <c r="E442" s="18" t="s">
        <v>23</v>
      </c>
      <c r="F442" s="18" t="s">
        <v>29</v>
      </c>
      <c r="G442" s="21">
        <v>2093.46</v>
      </c>
    </row>
    <row r="443" spans="2:7" x14ac:dyDescent="0.25">
      <c r="B443" s="19">
        <v>41614</v>
      </c>
      <c r="C443" s="20">
        <v>4</v>
      </c>
      <c r="D443" s="18" t="s">
        <v>31</v>
      </c>
      <c r="E443" s="18" t="s">
        <v>28</v>
      </c>
      <c r="F443" s="18" t="s">
        <v>32</v>
      </c>
      <c r="G443" s="21">
        <v>1700.78</v>
      </c>
    </row>
    <row r="444" spans="2:7" x14ac:dyDescent="0.25">
      <c r="B444" s="19">
        <v>41468</v>
      </c>
      <c r="C444" s="20">
        <v>3</v>
      </c>
      <c r="D444" s="18" t="s">
        <v>10</v>
      </c>
      <c r="E444" s="18" t="s">
        <v>28</v>
      </c>
      <c r="F444" s="18" t="s">
        <v>29</v>
      </c>
      <c r="G444" s="21">
        <v>3608.32</v>
      </c>
    </row>
    <row r="445" spans="2:7" x14ac:dyDescent="0.25">
      <c r="B445" s="19">
        <v>41560</v>
      </c>
      <c r="C445" s="20">
        <v>4</v>
      </c>
      <c r="D445" s="18" t="s">
        <v>9</v>
      </c>
      <c r="E445" s="18" t="s">
        <v>26</v>
      </c>
      <c r="F445" s="18" t="s">
        <v>27</v>
      </c>
      <c r="G445" s="21">
        <v>1363.77</v>
      </c>
    </row>
    <row r="446" spans="2:7" x14ac:dyDescent="0.25">
      <c r="B446" s="19">
        <v>41657</v>
      </c>
      <c r="C446" s="20">
        <v>1</v>
      </c>
      <c r="D446" s="18" t="s">
        <v>31</v>
      </c>
      <c r="E446" s="18" t="s">
        <v>28</v>
      </c>
      <c r="F446" s="18" t="s">
        <v>32</v>
      </c>
      <c r="G446" s="21">
        <v>1593.79</v>
      </c>
    </row>
    <row r="447" spans="2:7" x14ac:dyDescent="0.25">
      <c r="B447" s="19">
        <v>41356</v>
      </c>
      <c r="C447" s="20">
        <v>1</v>
      </c>
      <c r="D447" s="18" t="s">
        <v>21</v>
      </c>
      <c r="E447" s="18" t="s">
        <v>19</v>
      </c>
      <c r="F447" s="18" t="s">
        <v>30</v>
      </c>
      <c r="G447" s="21">
        <v>2436.7800000000002</v>
      </c>
    </row>
    <row r="448" spans="2:7" x14ac:dyDescent="0.25">
      <c r="B448" s="19">
        <v>41794</v>
      </c>
      <c r="C448" s="20">
        <v>2</v>
      </c>
      <c r="D448" s="18" t="s">
        <v>8</v>
      </c>
      <c r="E448" s="18" t="s">
        <v>23</v>
      </c>
      <c r="F448" s="18" t="s">
        <v>27</v>
      </c>
      <c r="G448" s="21">
        <v>185.21</v>
      </c>
    </row>
    <row r="449" spans="2:7" x14ac:dyDescent="0.25">
      <c r="B449" s="19">
        <v>41821</v>
      </c>
      <c r="C449" s="20">
        <v>3</v>
      </c>
      <c r="D449" s="18" t="s">
        <v>31</v>
      </c>
      <c r="E449" s="18" t="s">
        <v>28</v>
      </c>
      <c r="F449" s="18" t="s">
        <v>29</v>
      </c>
      <c r="G449" s="21">
        <v>3772.56</v>
      </c>
    </row>
    <row r="450" spans="2:7" x14ac:dyDescent="0.25">
      <c r="B450" s="19">
        <v>41417</v>
      </c>
      <c r="C450" s="20">
        <v>2</v>
      </c>
      <c r="D450" s="18" t="s">
        <v>8</v>
      </c>
      <c r="E450" s="18" t="s">
        <v>23</v>
      </c>
      <c r="F450" s="18" t="s">
        <v>32</v>
      </c>
      <c r="G450" s="21">
        <v>1684.83</v>
      </c>
    </row>
    <row r="451" spans="2:7" x14ac:dyDescent="0.25">
      <c r="B451" s="19">
        <v>41476</v>
      </c>
      <c r="C451" s="20">
        <v>3</v>
      </c>
      <c r="D451" s="18" t="s">
        <v>9</v>
      </c>
      <c r="E451" s="18" t="s">
        <v>26</v>
      </c>
      <c r="F451" s="18" t="s">
        <v>29</v>
      </c>
      <c r="G451" s="21">
        <v>2167.84</v>
      </c>
    </row>
    <row r="452" spans="2:7" x14ac:dyDescent="0.25">
      <c r="B452" s="19">
        <v>41519</v>
      </c>
      <c r="C452" s="20">
        <v>3</v>
      </c>
      <c r="D452" s="18" t="s">
        <v>10</v>
      </c>
      <c r="E452" s="18" t="s">
        <v>28</v>
      </c>
      <c r="F452" s="18" t="s">
        <v>29</v>
      </c>
      <c r="G452" s="21">
        <v>3715.16</v>
      </c>
    </row>
    <row r="453" spans="2:7" x14ac:dyDescent="0.25">
      <c r="B453" s="19">
        <v>41839</v>
      </c>
      <c r="C453" s="20">
        <v>3</v>
      </c>
      <c r="D453" s="18" t="s">
        <v>18</v>
      </c>
      <c r="E453" s="18" t="s">
        <v>19</v>
      </c>
      <c r="F453" s="18" t="s">
        <v>32</v>
      </c>
      <c r="G453" s="21">
        <v>477.1</v>
      </c>
    </row>
    <row r="454" spans="2:7" x14ac:dyDescent="0.25">
      <c r="B454" s="19">
        <v>41737</v>
      </c>
      <c r="C454" s="20">
        <v>2</v>
      </c>
      <c r="D454" s="18" t="s">
        <v>21</v>
      </c>
      <c r="E454" s="18" t="s">
        <v>19</v>
      </c>
      <c r="F454" s="18" t="s">
        <v>24</v>
      </c>
      <c r="G454" s="21">
        <v>1234.9000000000001</v>
      </c>
    </row>
    <row r="455" spans="2:7" x14ac:dyDescent="0.25">
      <c r="B455" s="19">
        <v>41610</v>
      </c>
      <c r="C455" s="20">
        <v>4</v>
      </c>
      <c r="D455" s="18" t="s">
        <v>9</v>
      </c>
      <c r="E455" s="18" t="s">
        <v>26</v>
      </c>
      <c r="F455" s="18" t="s">
        <v>27</v>
      </c>
      <c r="G455" s="21">
        <v>1211.4000000000001</v>
      </c>
    </row>
    <row r="456" spans="2:7" x14ac:dyDescent="0.25">
      <c r="B456" s="19">
        <v>41291</v>
      </c>
      <c r="C456" s="20">
        <v>1</v>
      </c>
      <c r="D456" s="18" t="s">
        <v>10</v>
      </c>
      <c r="E456" s="18" t="s">
        <v>28</v>
      </c>
      <c r="F456" s="18" t="s">
        <v>22</v>
      </c>
      <c r="G456" s="21">
        <v>1469.26</v>
      </c>
    </row>
    <row r="457" spans="2:7" x14ac:dyDescent="0.25">
      <c r="B457" s="19">
        <v>41591</v>
      </c>
      <c r="C457" s="20">
        <v>4</v>
      </c>
      <c r="D457" s="18" t="s">
        <v>11</v>
      </c>
      <c r="E457" s="18" t="s">
        <v>23</v>
      </c>
      <c r="F457" s="18" t="s">
        <v>29</v>
      </c>
      <c r="G457" s="21">
        <v>901.4</v>
      </c>
    </row>
    <row r="458" spans="2:7" x14ac:dyDescent="0.25">
      <c r="B458" s="19">
        <v>41777</v>
      </c>
      <c r="C458" s="20">
        <v>2</v>
      </c>
      <c r="D458" s="18" t="s">
        <v>11</v>
      </c>
      <c r="E458" s="18" t="s">
        <v>23</v>
      </c>
      <c r="F458" s="18" t="s">
        <v>20</v>
      </c>
      <c r="G458" s="21">
        <v>365</v>
      </c>
    </row>
    <row r="459" spans="2:7" x14ac:dyDescent="0.25">
      <c r="B459" s="19">
        <v>41501</v>
      </c>
      <c r="C459" s="20">
        <v>3</v>
      </c>
      <c r="D459" s="18" t="s">
        <v>8</v>
      </c>
      <c r="E459" s="18" t="s">
        <v>23</v>
      </c>
      <c r="F459" s="18" t="s">
        <v>22</v>
      </c>
      <c r="G459" s="21">
        <v>1466.8</v>
      </c>
    </row>
    <row r="460" spans="2:7" x14ac:dyDescent="0.25">
      <c r="B460" s="19">
        <v>41806</v>
      </c>
      <c r="C460" s="20">
        <v>2</v>
      </c>
      <c r="D460" s="18" t="s">
        <v>11</v>
      </c>
      <c r="E460" s="18" t="s">
        <v>23</v>
      </c>
      <c r="F460" s="18" t="s">
        <v>22</v>
      </c>
      <c r="G460" s="21">
        <v>810.98</v>
      </c>
    </row>
    <row r="461" spans="2:7" x14ac:dyDescent="0.25">
      <c r="B461" s="19">
        <v>41681</v>
      </c>
      <c r="C461" s="20">
        <v>1</v>
      </c>
      <c r="D461" s="18" t="s">
        <v>8</v>
      </c>
      <c r="E461" s="18" t="s">
        <v>23</v>
      </c>
      <c r="F461" s="18" t="s">
        <v>33</v>
      </c>
      <c r="G461" s="21">
        <v>636.54</v>
      </c>
    </row>
    <row r="462" spans="2:7" x14ac:dyDescent="0.25">
      <c r="B462" s="19">
        <v>41386</v>
      </c>
      <c r="C462" s="20">
        <v>2</v>
      </c>
      <c r="D462" s="18" t="s">
        <v>11</v>
      </c>
      <c r="E462" s="18" t="s">
        <v>23</v>
      </c>
      <c r="F462" s="18" t="s">
        <v>22</v>
      </c>
      <c r="G462" s="21">
        <v>815.04</v>
      </c>
    </row>
    <row r="463" spans="2:7" x14ac:dyDescent="0.25">
      <c r="B463" s="19">
        <v>41333</v>
      </c>
      <c r="C463" s="20">
        <v>1</v>
      </c>
      <c r="D463" s="18" t="s">
        <v>8</v>
      </c>
      <c r="E463" s="18" t="s">
        <v>23</v>
      </c>
      <c r="F463" s="18" t="s">
        <v>20</v>
      </c>
      <c r="G463" s="21">
        <v>245.21</v>
      </c>
    </row>
    <row r="464" spans="2:7" x14ac:dyDescent="0.25">
      <c r="B464" s="19">
        <v>41546</v>
      </c>
      <c r="C464" s="20">
        <v>3</v>
      </c>
      <c r="D464" s="18" t="s">
        <v>25</v>
      </c>
      <c r="E464" s="18" t="s">
        <v>26</v>
      </c>
      <c r="F464" s="18" t="s">
        <v>27</v>
      </c>
      <c r="G464" s="21">
        <v>1386.43</v>
      </c>
    </row>
    <row r="465" spans="2:7" x14ac:dyDescent="0.25">
      <c r="B465" s="19">
        <v>41425</v>
      </c>
      <c r="C465" s="20">
        <v>2</v>
      </c>
      <c r="D465" s="18" t="s">
        <v>31</v>
      </c>
      <c r="E465" s="18" t="s">
        <v>28</v>
      </c>
      <c r="F465" s="18" t="s">
        <v>22</v>
      </c>
      <c r="G465" s="21">
        <v>656.53</v>
      </c>
    </row>
    <row r="466" spans="2:7" x14ac:dyDescent="0.25">
      <c r="B466" s="19">
        <v>41506</v>
      </c>
      <c r="C466" s="20">
        <v>3</v>
      </c>
      <c r="D466" s="18" t="s">
        <v>31</v>
      </c>
      <c r="E466" s="18" t="s">
        <v>28</v>
      </c>
      <c r="F466" s="18" t="s">
        <v>30</v>
      </c>
      <c r="G466" s="21">
        <v>2257.3000000000002</v>
      </c>
    </row>
    <row r="467" spans="2:7" x14ac:dyDescent="0.25">
      <c r="B467" s="19">
        <v>41842</v>
      </c>
      <c r="C467" s="20">
        <v>3</v>
      </c>
      <c r="D467" s="18" t="s">
        <v>21</v>
      </c>
      <c r="E467" s="18" t="s">
        <v>19</v>
      </c>
      <c r="F467" s="18" t="s">
        <v>27</v>
      </c>
      <c r="G467" s="21">
        <v>584.26</v>
      </c>
    </row>
    <row r="468" spans="2:7" x14ac:dyDescent="0.25">
      <c r="B468" s="19">
        <v>41429</v>
      </c>
      <c r="C468" s="20">
        <v>2</v>
      </c>
      <c r="D468" s="18" t="s">
        <v>18</v>
      </c>
      <c r="E468" s="18" t="s">
        <v>19</v>
      </c>
      <c r="F468" s="18" t="s">
        <v>33</v>
      </c>
      <c r="G468" s="21">
        <v>2893.97</v>
      </c>
    </row>
    <row r="469" spans="2:7" x14ac:dyDescent="0.25">
      <c r="B469" s="19">
        <v>41585</v>
      </c>
      <c r="C469" s="20">
        <v>4</v>
      </c>
      <c r="D469" s="18" t="s">
        <v>18</v>
      </c>
      <c r="E469" s="18" t="s">
        <v>19</v>
      </c>
      <c r="F469" s="18" t="s">
        <v>32</v>
      </c>
      <c r="G469" s="21">
        <v>1276.8800000000001</v>
      </c>
    </row>
    <row r="470" spans="2:7" x14ac:dyDescent="0.25">
      <c r="B470" s="19">
        <v>41691</v>
      </c>
      <c r="C470" s="20">
        <v>1</v>
      </c>
      <c r="D470" s="18" t="s">
        <v>31</v>
      </c>
      <c r="E470" s="18" t="s">
        <v>28</v>
      </c>
      <c r="F470" s="18" t="s">
        <v>33</v>
      </c>
      <c r="G470" s="21">
        <v>1274.8499999999999</v>
      </c>
    </row>
    <row r="471" spans="2:7" x14ac:dyDescent="0.25">
      <c r="B471" s="19">
        <v>41615</v>
      </c>
      <c r="C471" s="20">
        <v>4</v>
      </c>
      <c r="D471" s="18" t="s">
        <v>31</v>
      </c>
      <c r="E471" s="18" t="s">
        <v>28</v>
      </c>
      <c r="F471" s="18" t="s">
        <v>30</v>
      </c>
      <c r="G471" s="21">
        <v>1384.51</v>
      </c>
    </row>
    <row r="472" spans="2:7" x14ac:dyDescent="0.25">
      <c r="B472" s="19">
        <v>41456</v>
      </c>
      <c r="C472" s="20">
        <v>3</v>
      </c>
      <c r="D472" s="18" t="s">
        <v>11</v>
      </c>
      <c r="E472" s="18" t="s">
        <v>23</v>
      </c>
      <c r="F472" s="18" t="s">
        <v>22</v>
      </c>
      <c r="G472" s="21">
        <v>1647.19</v>
      </c>
    </row>
    <row r="473" spans="2:7" x14ac:dyDescent="0.25">
      <c r="B473" s="19">
        <v>41926</v>
      </c>
      <c r="C473" s="20">
        <v>4</v>
      </c>
      <c r="D473" s="18" t="s">
        <v>9</v>
      </c>
      <c r="E473" s="18" t="s">
        <v>26</v>
      </c>
      <c r="F473" s="18" t="s">
        <v>27</v>
      </c>
      <c r="G473" s="21">
        <v>1451.24</v>
      </c>
    </row>
    <row r="474" spans="2:7" x14ac:dyDescent="0.25">
      <c r="B474" s="19">
        <v>41447</v>
      </c>
      <c r="C474" s="20">
        <v>2</v>
      </c>
      <c r="D474" s="18" t="s">
        <v>11</v>
      </c>
      <c r="E474" s="18" t="s">
        <v>23</v>
      </c>
      <c r="F474" s="18" t="s">
        <v>33</v>
      </c>
      <c r="G474" s="21">
        <v>2983.98</v>
      </c>
    </row>
    <row r="475" spans="2:7" x14ac:dyDescent="0.25">
      <c r="B475" s="19">
        <v>41655</v>
      </c>
      <c r="C475" s="20">
        <v>1</v>
      </c>
      <c r="D475" s="18" t="s">
        <v>10</v>
      </c>
      <c r="E475" s="18" t="s">
        <v>28</v>
      </c>
      <c r="F475" s="18" t="s">
        <v>30</v>
      </c>
      <c r="G475" s="21">
        <v>2672.04</v>
      </c>
    </row>
    <row r="476" spans="2:7" x14ac:dyDescent="0.25">
      <c r="B476" s="19">
        <v>41470</v>
      </c>
      <c r="C476" s="20">
        <v>3</v>
      </c>
      <c r="D476" s="18" t="s">
        <v>21</v>
      </c>
      <c r="E476" s="18" t="s">
        <v>19</v>
      </c>
      <c r="F476" s="18" t="s">
        <v>32</v>
      </c>
      <c r="G476" s="21">
        <v>1232.3900000000001</v>
      </c>
    </row>
    <row r="477" spans="2:7" x14ac:dyDescent="0.25">
      <c r="B477" s="19">
        <v>41814</v>
      </c>
      <c r="C477" s="20">
        <v>2</v>
      </c>
      <c r="D477" s="18" t="s">
        <v>11</v>
      </c>
      <c r="E477" s="18" t="s">
        <v>23</v>
      </c>
      <c r="F477" s="18" t="s">
        <v>30</v>
      </c>
      <c r="G477" s="21">
        <v>2016.36</v>
      </c>
    </row>
    <row r="478" spans="2:7" x14ac:dyDescent="0.25">
      <c r="B478" s="19">
        <v>41385</v>
      </c>
      <c r="C478" s="20">
        <v>2</v>
      </c>
      <c r="D478" s="18" t="s">
        <v>11</v>
      </c>
      <c r="E478" s="18" t="s">
        <v>23</v>
      </c>
      <c r="F478" s="18" t="s">
        <v>20</v>
      </c>
      <c r="G478" s="21">
        <v>545.82000000000005</v>
      </c>
    </row>
    <row r="479" spans="2:7" x14ac:dyDescent="0.25">
      <c r="B479" s="19">
        <v>41698</v>
      </c>
      <c r="C479" s="20">
        <v>1</v>
      </c>
      <c r="D479" s="18" t="s">
        <v>10</v>
      </c>
      <c r="E479" s="18" t="s">
        <v>28</v>
      </c>
      <c r="F479" s="18" t="s">
        <v>30</v>
      </c>
      <c r="G479" s="21">
        <v>853.91</v>
      </c>
    </row>
    <row r="480" spans="2:7" x14ac:dyDescent="0.25">
      <c r="B480" s="19">
        <v>41284</v>
      </c>
      <c r="C480" s="20">
        <v>1</v>
      </c>
      <c r="D480" s="18" t="s">
        <v>25</v>
      </c>
      <c r="E480" s="18" t="s">
        <v>26</v>
      </c>
      <c r="F480" s="18" t="s">
        <v>27</v>
      </c>
      <c r="G480" s="21">
        <v>684.03</v>
      </c>
    </row>
    <row r="481" spans="2:7" x14ac:dyDescent="0.25">
      <c r="B481" s="19">
        <v>41710</v>
      </c>
      <c r="C481" s="20">
        <v>1</v>
      </c>
      <c r="D481" s="18" t="s">
        <v>11</v>
      </c>
      <c r="E481" s="18" t="s">
        <v>23</v>
      </c>
      <c r="F481" s="18" t="s">
        <v>22</v>
      </c>
      <c r="G481" s="21">
        <v>770.5</v>
      </c>
    </row>
    <row r="482" spans="2:7" x14ac:dyDescent="0.25">
      <c r="B482" s="19">
        <v>41575</v>
      </c>
      <c r="C482" s="20">
        <v>4</v>
      </c>
      <c r="D482" s="18" t="s">
        <v>25</v>
      </c>
      <c r="E482" s="18" t="s">
        <v>26</v>
      </c>
      <c r="F482" s="18" t="s">
        <v>30</v>
      </c>
      <c r="G482" s="21">
        <v>1237.24</v>
      </c>
    </row>
    <row r="483" spans="2:7" x14ac:dyDescent="0.25">
      <c r="B483" s="19">
        <v>41546</v>
      </c>
      <c r="C483" s="20">
        <v>3</v>
      </c>
      <c r="D483" s="18" t="s">
        <v>10</v>
      </c>
      <c r="E483" s="18" t="s">
        <v>28</v>
      </c>
      <c r="F483" s="18" t="s">
        <v>33</v>
      </c>
      <c r="G483" s="21">
        <v>843.56</v>
      </c>
    </row>
    <row r="484" spans="2:7" x14ac:dyDescent="0.25">
      <c r="B484" s="19">
        <v>41943</v>
      </c>
      <c r="C484" s="20">
        <v>4</v>
      </c>
      <c r="D484" s="18" t="s">
        <v>9</v>
      </c>
      <c r="E484" s="18" t="s">
        <v>26</v>
      </c>
      <c r="F484" s="18" t="s">
        <v>32</v>
      </c>
      <c r="G484" s="21">
        <v>1410.65</v>
      </c>
    </row>
    <row r="485" spans="2:7" x14ac:dyDescent="0.25">
      <c r="B485" s="19">
        <v>41468</v>
      </c>
      <c r="C485" s="20">
        <v>3</v>
      </c>
      <c r="D485" s="18" t="s">
        <v>8</v>
      </c>
      <c r="E485" s="18" t="s">
        <v>23</v>
      </c>
      <c r="F485" s="18" t="s">
        <v>24</v>
      </c>
      <c r="G485" s="21">
        <v>1808.81</v>
      </c>
    </row>
    <row r="486" spans="2:7" x14ac:dyDescent="0.25">
      <c r="B486" s="19">
        <v>41915</v>
      </c>
      <c r="C486" s="20">
        <v>4</v>
      </c>
      <c r="D486" s="18" t="s">
        <v>18</v>
      </c>
      <c r="E486" s="18" t="s">
        <v>19</v>
      </c>
      <c r="F486" s="18" t="s">
        <v>27</v>
      </c>
      <c r="G486" s="21">
        <v>1089.21</v>
      </c>
    </row>
    <row r="487" spans="2:7" x14ac:dyDescent="0.25">
      <c r="B487" s="19">
        <v>41664</v>
      </c>
      <c r="C487" s="20">
        <v>1</v>
      </c>
      <c r="D487" s="18" t="s">
        <v>9</v>
      </c>
      <c r="E487" s="18" t="s">
        <v>26</v>
      </c>
      <c r="F487" s="18" t="s">
        <v>22</v>
      </c>
      <c r="G487" s="21">
        <v>126.79</v>
      </c>
    </row>
    <row r="488" spans="2:7" x14ac:dyDescent="0.25">
      <c r="B488" s="19">
        <v>41813</v>
      </c>
      <c r="C488" s="20">
        <v>2</v>
      </c>
      <c r="D488" s="18" t="s">
        <v>8</v>
      </c>
      <c r="E488" s="18" t="s">
        <v>23</v>
      </c>
      <c r="F488" s="18" t="s">
        <v>20</v>
      </c>
      <c r="G488" s="21">
        <v>409.34</v>
      </c>
    </row>
    <row r="489" spans="2:7" x14ac:dyDescent="0.25">
      <c r="B489" s="19">
        <v>41361</v>
      </c>
      <c r="C489" s="20">
        <v>1</v>
      </c>
      <c r="D489" s="18" t="s">
        <v>9</v>
      </c>
      <c r="E489" s="18" t="s">
        <v>26</v>
      </c>
      <c r="F489" s="18" t="s">
        <v>22</v>
      </c>
      <c r="G489" s="21">
        <v>733.07</v>
      </c>
    </row>
    <row r="490" spans="2:7" x14ac:dyDescent="0.25">
      <c r="B490" s="19">
        <v>41389</v>
      </c>
      <c r="C490" s="20">
        <v>2</v>
      </c>
      <c r="D490" s="18" t="s">
        <v>18</v>
      </c>
      <c r="E490" s="18" t="s">
        <v>19</v>
      </c>
      <c r="F490" s="18" t="s">
        <v>20</v>
      </c>
      <c r="G490" s="21">
        <v>537.69000000000005</v>
      </c>
    </row>
    <row r="491" spans="2:7" x14ac:dyDescent="0.25">
      <c r="B491" s="19">
        <v>41818</v>
      </c>
      <c r="C491" s="20">
        <v>2</v>
      </c>
      <c r="D491" s="18" t="s">
        <v>25</v>
      </c>
      <c r="E491" s="18" t="s">
        <v>26</v>
      </c>
      <c r="F491" s="18" t="s">
        <v>24</v>
      </c>
      <c r="G491" s="21">
        <v>218.85</v>
      </c>
    </row>
    <row r="492" spans="2:7" x14ac:dyDescent="0.25">
      <c r="B492" s="19">
        <v>41356</v>
      </c>
      <c r="C492" s="20">
        <v>1</v>
      </c>
      <c r="D492" s="18" t="s">
        <v>8</v>
      </c>
      <c r="E492" s="18" t="s">
        <v>23</v>
      </c>
      <c r="F492" s="18" t="s">
        <v>20</v>
      </c>
      <c r="G492" s="21">
        <v>486.95</v>
      </c>
    </row>
    <row r="493" spans="2:7" x14ac:dyDescent="0.25">
      <c r="B493" s="19">
        <v>41316</v>
      </c>
      <c r="C493" s="20">
        <v>1</v>
      </c>
      <c r="D493" s="18" t="s">
        <v>9</v>
      </c>
      <c r="E493" s="18" t="s">
        <v>26</v>
      </c>
      <c r="F493" s="18" t="s">
        <v>24</v>
      </c>
      <c r="G493" s="21">
        <v>1118.52</v>
      </c>
    </row>
    <row r="494" spans="2:7" x14ac:dyDescent="0.25">
      <c r="B494" s="19">
        <v>41309</v>
      </c>
      <c r="C494" s="20">
        <v>1</v>
      </c>
      <c r="D494" s="18" t="s">
        <v>9</v>
      </c>
      <c r="E494" s="18" t="s">
        <v>26</v>
      </c>
      <c r="F494" s="18" t="s">
        <v>20</v>
      </c>
      <c r="G494" s="21">
        <v>792.68</v>
      </c>
    </row>
    <row r="495" spans="2:7" x14ac:dyDescent="0.25">
      <c r="B495" s="19">
        <v>41573</v>
      </c>
      <c r="C495" s="20">
        <v>4</v>
      </c>
      <c r="D495" s="18" t="s">
        <v>10</v>
      </c>
      <c r="E495" s="18" t="s">
        <v>28</v>
      </c>
      <c r="F495" s="18" t="s">
        <v>22</v>
      </c>
      <c r="G495" s="21">
        <v>1614.51</v>
      </c>
    </row>
    <row r="496" spans="2:7" x14ac:dyDescent="0.25">
      <c r="B496" s="19">
        <v>41582</v>
      </c>
      <c r="C496" s="20">
        <v>4</v>
      </c>
      <c r="D496" s="18" t="s">
        <v>21</v>
      </c>
      <c r="E496" s="18" t="s">
        <v>19</v>
      </c>
      <c r="F496" s="18" t="s">
        <v>22</v>
      </c>
      <c r="G496" s="21">
        <v>547.44000000000005</v>
      </c>
    </row>
    <row r="497" spans="2:7" x14ac:dyDescent="0.25">
      <c r="B497" s="19">
        <v>41791</v>
      </c>
      <c r="C497" s="20">
        <v>2</v>
      </c>
      <c r="D497" s="18" t="s">
        <v>18</v>
      </c>
      <c r="E497" s="18" t="s">
        <v>19</v>
      </c>
      <c r="F497" s="18" t="s">
        <v>32</v>
      </c>
      <c r="G497" s="21">
        <v>177.62</v>
      </c>
    </row>
    <row r="498" spans="2:7" x14ac:dyDescent="0.25">
      <c r="B498" s="19">
        <v>41438</v>
      </c>
      <c r="C498" s="20">
        <v>2</v>
      </c>
      <c r="D498" s="18" t="s">
        <v>31</v>
      </c>
      <c r="E498" s="18" t="s">
        <v>28</v>
      </c>
      <c r="F498" s="18" t="s">
        <v>22</v>
      </c>
      <c r="G498" s="21">
        <v>662.68</v>
      </c>
    </row>
    <row r="499" spans="2:7" x14ac:dyDescent="0.25">
      <c r="B499" s="19">
        <v>41688</v>
      </c>
      <c r="C499" s="20">
        <v>1</v>
      </c>
      <c r="D499" s="18" t="s">
        <v>11</v>
      </c>
      <c r="E499" s="18" t="s">
        <v>23</v>
      </c>
      <c r="F499" s="18" t="s">
        <v>29</v>
      </c>
      <c r="G499" s="21">
        <v>3333.04</v>
      </c>
    </row>
    <row r="500" spans="2:7" x14ac:dyDescent="0.25">
      <c r="B500" s="19">
        <v>41934</v>
      </c>
      <c r="C500" s="20">
        <v>4</v>
      </c>
      <c r="D500" s="18" t="s">
        <v>31</v>
      </c>
      <c r="E500" s="18" t="s">
        <v>28</v>
      </c>
      <c r="F500" s="18" t="s">
        <v>27</v>
      </c>
      <c r="G500" s="21">
        <v>161.47999999999999</v>
      </c>
    </row>
    <row r="501" spans="2:7" x14ac:dyDescent="0.25">
      <c r="B501" s="19">
        <v>41859</v>
      </c>
      <c r="C501" s="20">
        <v>3</v>
      </c>
      <c r="D501" s="18" t="s">
        <v>10</v>
      </c>
      <c r="E501" s="18" t="s">
        <v>28</v>
      </c>
      <c r="F501" s="18" t="s">
        <v>27</v>
      </c>
      <c r="G501" s="21">
        <v>1552.51</v>
      </c>
    </row>
    <row r="502" spans="2:7" x14ac:dyDescent="0.25">
      <c r="B502" s="19">
        <v>41867</v>
      </c>
      <c r="C502" s="20">
        <v>3</v>
      </c>
      <c r="D502" s="18" t="s">
        <v>10</v>
      </c>
      <c r="E502" s="18" t="s">
        <v>28</v>
      </c>
      <c r="F502" s="18" t="s">
        <v>30</v>
      </c>
      <c r="G502" s="21">
        <v>2475.64</v>
      </c>
    </row>
    <row r="503" spans="2:7" x14ac:dyDescent="0.25">
      <c r="B503" s="19">
        <v>41890</v>
      </c>
      <c r="C503" s="20">
        <v>3</v>
      </c>
      <c r="D503" s="18" t="s">
        <v>25</v>
      </c>
      <c r="E503" s="18" t="s">
        <v>26</v>
      </c>
      <c r="F503" s="18" t="s">
        <v>24</v>
      </c>
      <c r="G503" s="21">
        <v>394.41</v>
      </c>
    </row>
    <row r="504" spans="2:7" x14ac:dyDescent="0.25">
      <c r="B504" s="19">
        <v>41992</v>
      </c>
      <c r="C504" s="20">
        <v>4</v>
      </c>
      <c r="D504" s="18" t="s">
        <v>9</v>
      </c>
      <c r="E504" s="18" t="s">
        <v>26</v>
      </c>
      <c r="F504" s="18" t="s">
        <v>29</v>
      </c>
      <c r="G504" s="21">
        <v>3570.84</v>
      </c>
    </row>
    <row r="505" spans="2:7" x14ac:dyDescent="0.25">
      <c r="B505" s="19">
        <v>41474</v>
      </c>
      <c r="C505" s="20">
        <v>3</v>
      </c>
      <c r="D505" s="18" t="s">
        <v>10</v>
      </c>
      <c r="E505" s="18" t="s">
        <v>28</v>
      </c>
      <c r="F505" s="18" t="s">
        <v>24</v>
      </c>
      <c r="G505" s="21">
        <v>780.79</v>
      </c>
    </row>
    <row r="506" spans="2:7" x14ac:dyDescent="0.25">
      <c r="B506" s="19">
        <v>41711</v>
      </c>
      <c r="C506" s="20">
        <v>1</v>
      </c>
      <c r="D506" s="18" t="s">
        <v>9</v>
      </c>
      <c r="E506" s="18" t="s">
        <v>26</v>
      </c>
      <c r="F506" s="18" t="s">
        <v>24</v>
      </c>
      <c r="G506" s="21">
        <v>241.67</v>
      </c>
    </row>
    <row r="507" spans="2:7" x14ac:dyDescent="0.25">
      <c r="B507" s="19">
        <v>41766</v>
      </c>
      <c r="C507" s="20">
        <v>2</v>
      </c>
      <c r="D507" s="18" t="s">
        <v>25</v>
      </c>
      <c r="E507" s="18" t="s">
        <v>26</v>
      </c>
      <c r="F507" s="18" t="s">
        <v>33</v>
      </c>
      <c r="G507" s="21">
        <v>324</v>
      </c>
    </row>
    <row r="508" spans="2:7" x14ac:dyDescent="0.25">
      <c r="B508" s="19">
        <v>41300</v>
      </c>
      <c r="C508" s="20">
        <v>1</v>
      </c>
      <c r="D508" s="18" t="s">
        <v>10</v>
      </c>
      <c r="E508" s="18" t="s">
        <v>28</v>
      </c>
      <c r="F508" s="18" t="s">
        <v>20</v>
      </c>
      <c r="G508" s="21">
        <v>788.94</v>
      </c>
    </row>
    <row r="509" spans="2:7" x14ac:dyDescent="0.25">
      <c r="B509" s="19">
        <v>41527</v>
      </c>
      <c r="C509" s="20">
        <v>3</v>
      </c>
      <c r="D509" s="18" t="s">
        <v>25</v>
      </c>
      <c r="E509" s="18" t="s">
        <v>26</v>
      </c>
      <c r="F509" s="18" t="s">
        <v>27</v>
      </c>
      <c r="G509" s="21">
        <v>1650.64</v>
      </c>
    </row>
    <row r="510" spans="2:7" x14ac:dyDescent="0.25">
      <c r="B510" s="19">
        <v>41767</v>
      </c>
      <c r="C510" s="20">
        <v>2</v>
      </c>
      <c r="D510" s="18" t="s">
        <v>11</v>
      </c>
      <c r="E510" s="18" t="s">
        <v>23</v>
      </c>
      <c r="F510" s="18" t="s">
        <v>20</v>
      </c>
      <c r="G510" s="21">
        <v>380.22</v>
      </c>
    </row>
    <row r="511" spans="2:7" x14ac:dyDescent="0.25">
      <c r="B511" s="19">
        <v>41430</v>
      </c>
      <c r="C511" s="20">
        <v>2</v>
      </c>
      <c r="D511" s="18" t="s">
        <v>21</v>
      </c>
      <c r="E511" s="18" t="s">
        <v>19</v>
      </c>
      <c r="F511" s="18" t="s">
        <v>32</v>
      </c>
      <c r="G511" s="21">
        <v>509.21</v>
      </c>
    </row>
    <row r="512" spans="2:7" x14ac:dyDescent="0.25">
      <c r="B512" s="19">
        <v>41772</v>
      </c>
      <c r="C512" s="20">
        <v>2</v>
      </c>
      <c r="D512" s="18" t="s">
        <v>9</v>
      </c>
      <c r="E512" s="18" t="s">
        <v>26</v>
      </c>
      <c r="F512" s="18" t="s">
        <v>20</v>
      </c>
      <c r="G512" s="21">
        <v>340.49</v>
      </c>
    </row>
    <row r="513" spans="2:7" x14ac:dyDescent="0.25">
      <c r="B513" s="19">
        <v>41620</v>
      </c>
      <c r="C513" s="20">
        <v>4</v>
      </c>
      <c r="D513" s="18" t="s">
        <v>21</v>
      </c>
      <c r="E513" s="18" t="s">
        <v>19</v>
      </c>
      <c r="F513" s="18" t="s">
        <v>20</v>
      </c>
      <c r="G513" s="21">
        <v>120.48</v>
      </c>
    </row>
    <row r="514" spans="2:7" x14ac:dyDescent="0.25">
      <c r="B514" s="19">
        <v>41944</v>
      </c>
      <c r="C514" s="20">
        <v>4</v>
      </c>
      <c r="D514" s="18" t="s">
        <v>9</v>
      </c>
      <c r="E514" s="18" t="s">
        <v>26</v>
      </c>
      <c r="F514" s="18" t="s">
        <v>24</v>
      </c>
      <c r="G514" s="21">
        <v>903.05</v>
      </c>
    </row>
    <row r="515" spans="2:7" x14ac:dyDescent="0.25">
      <c r="B515" s="19">
        <v>41407</v>
      </c>
      <c r="C515" s="20">
        <v>2</v>
      </c>
      <c r="D515" s="18" t="s">
        <v>9</v>
      </c>
      <c r="E515" s="18" t="s">
        <v>26</v>
      </c>
      <c r="F515" s="18" t="s">
        <v>20</v>
      </c>
      <c r="G515" s="21">
        <v>252.3</v>
      </c>
    </row>
    <row r="516" spans="2:7" x14ac:dyDescent="0.25">
      <c r="B516" s="19">
        <v>41988</v>
      </c>
      <c r="C516" s="20">
        <v>4</v>
      </c>
      <c r="D516" s="18" t="s">
        <v>8</v>
      </c>
      <c r="E516" s="18" t="s">
        <v>23</v>
      </c>
      <c r="F516" s="18" t="s">
        <v>33</v>
      </c>
      <c r="G516" s="21">
        <v>1763.57</v>
      </c>
    </row>
    <row r="517" spans="2:7" x14ac:dyDescent="0.25">
      <c r="B517" s="19">
        <v>41594</v>
      </c>
      <c r="C517" s="20">
        <v>4</v>
      </c>
      <c r="D517" s="18" t="s">
        <v>21</v>
      </c>
      <c r="E517" s="18" t="s">
        <v>19</v>
      </c>
      <c r="F517" s="18" t="s">
        <v>32</v>
      </c>
      <c r="G517" s="21">
        <v>1188.17</v>
      </c>
    </row>
    <row r="518" spans="2:7" x14ac:dyDescent="0.25">
      <c r="B518" s="19">
        <v>41892</v>
      </c>
      <c r="C518" s="20">
        <v>3</v>
      </c>
      <c r="D518" s="18" t="s">
        <v>21</v>
      </c>
      <c r="E518" s="18" t="s">
        <v>19</v>
      </c>
      <c r="F518" s="18" t="s">
        <v>24</v>
      </c>
      <c r="G518" s="21">
        <v>278.98</v>
      </c>
    </row>
    <row r="519" spans="2:7" x14ac:dyDescent="0.25">
      <c r="B519" s="19">
        <v>41664</v>
      </c>
      <c r="C519" s="20">
        <v>1</v>
      </c>
      <c r="D519" s="18" t="s">
        <v>9</v>
      </c>
      <c r="E519" s="18" t="s">
        <v>26</v>
      </c>
      <c r="F519" s="18" t="s">
        <v>30</v>
      </c>
      <c r="G519" s="21">
        <v>424.1</v>
      </c>
    </row>
    <row r="520" spans="2:7" x14ac:dyDescent="0.25">
      <c r="B520" s="19">
        <v>41510</v>
      </c>
      <c r="C520" s="20">
        <v>3</v>
      </c>
      <c r="D520" s="18" t="s">
        <v>11</v>
      </c>
      <c r="E520" s="18" t="s">
        <v>23</v>
      </c>
      <c r="F520" s="18" t="s">
        <v>33</v>
      </c>
      <c r="G520" s="21">
        <v>902.03</v>
      </c>
    </row>
    <row r="521" spans="2:7" x14ac:dyDescent="0.25">
      <c r="B521" s="19">
        <v>41586</v>
      </c>
      <c r="C521" s="20">
        <v>4</v>
      </c>
      <c r="D521" s="18" t="s">
        <v>11</v>
      </c>
      <c r="E521" s="18" t="s">
        <v>23</v>
      </c>
      <c r="F521" s="18" t="s">
        <v>30</v>
      </c>
      <c r="G521" s="21">
        <v>552.51</v>
      </c>
    </row>
    <row r="522" spans="2:7" x14ac:dyDescent="0.25">
      <c r="B522" s="19">
        <v>41782</v>
      </c>
      <c r="C522" s="20">
        <v>2</v>
      </c>
      <c r="D522" s="18" t="s">
        <v>11</v>
      </c>
      <c r="E522" s="18" t="s">
        <v>23</v>
      </c>
      <c r="F522" s="18" t="s">
        <v>30</v>
      </c>
      <c r="G522" s="21">
        <v>1555.04</v>
      </c>
    </row>
    <row r="523" spans="2:7" x14ac:dyDescent="0.25">
      <c r="B523" s="19">
        <v>41629</v>
      </c>
      <c r="C523" s="20">
        <v>4</v>
      </c>
      <c r="D523" s="18" t="s">
        <v>10</v>
      </c>
      <c r="E523" s="18" t="s">
        <v>28</v>
      </c>
      <c r="F523" s="18" t="s">
        <v>29</v>
      </c>
      <c r="G523" s="21">
        <v>2339.6</v>
      </c>
    </row>
    <row r="524" spans="2:7" x14ac:dyDescent="0.25">
      <c r="B524" s="19">
        <v>41403</v>
      </c>
      <c r="C524" s="20">
        <v>2</v>
      </c>
      <c r="D524" s="18" t="s">
        <v>10</v>
      </c>
      <c r="E524" s="18" t="s">
        <v>28</v>
      </c>
      <c r="F524" s="18" t="s">
        <v>20</v>
      </c>
      <c r="G524" s="21">
        <v>328.92</v>
      </c>
    </row>
    <row r="525" spans="2:7" x14ac:dyDescent="0.25">
      <c r="B525" s="19">
        <v>41297</v>
      </c>
      <c r="C525" s="20">
        <v>1</v>
      </c>
      <c r="D525" s="18" t="s">
        <v>31</v>
      </c>
      <c r="E525" s="18" t="s">
        <v>28</v>
      </c>
      <c r="F525" s="18" t="s">
        <v>20</v>
      </c>
      <c r="G525" s="21">
        <v>312.16000000000003</v>
      </c>
    </row>
    <row r="526" spans="2:7" x14ac:dyDescent="0.25">
      <c r="B526" s="19">
        <v>41645</v>
      </c>
      <c r="C526" s="20">
        <v>1</v>
      </c>
      <c r="D526" s="18" t="s">
        <v>25</v>
      </c>
      <c r="E526" s="18" t="s">
        <v>26</v>
      </c>
      <c r="F526" s="18" t="s">
        <v>32</v>
      </c>
      <c r="G526" s="21">
        <v>941.44</v>
      </c>
    </row>
    <row r="527" spans="2:7" x14ac:dyDescent="0.25">
      <c r="B527" s="19">
        <v>41463</v>
      </c>
      <c r="C527" s="20">
        <v>3</v>
      </c>
      <c r="D527" s="18" t="s">
        <v>21</v>
      </c>
      <c r="E527" s="18" t="s">
        <v>19</v>
      </c>
      <c r="F527" s="18" t="s">
        <v>33</v>
      </c>
      <c r="G527" s="21">
        <v>2907.36</v>
      </c>
    </row>
    <row r="528" spans="2:7" x14ac:dyDescent="0.25">
      <c r="B528" s="19">
        <v>41917</v>
      </c>
      <c r="C528" s="20">
        <v>4</v>
      </c>
      <c r="D528" s="18" t="s">
        <v>10</v>
      </c>
      <c r="E528" s="18" t="s">
        <v>28</v>
      </c>
      <c r="F528" s="18" t="s">
        <v>30</v>
      </c>
      <c r="G528" s="21">
        <v>2418.02</v>
      </c>
    </row>
    <row r="529" spans="2:7" x14ac:dyDescent="0.25">
      <c r="B529" s="19">
        <v>42003</v>
      </c>
      <c r="C529" s="20">
        <v>4</v>
      </c>
      <c r="D529" s="18" t="s">
        <v>31</v>
      </c>
      <c r="E529" s="18" t="s">
        <v>28</v>
      </c>
      <c r="F529" s="18" t="s">
        <v>33</v>
      </c>
      <c r="G529" s="21">
        <v>1700.22</v>
      </c>
    </row>
    <row r="530" spans="2:7" x14ac:dyDescent="0.25">
      <c r="B530" s="19">
        <v>41892</v>
      </c>
      <c r="C530" s="20">
        <v>3</v>
      </c>
      <c r="D530" s="18" t="s">
        <v>9</v>
      </c>
      <c r="E530" s="18" t="s">
        <v>26</v>
      </c>
      <c r="F530" s="18" t="s">
        <v>20</v>
      </c>
      <c r="G530" s="21">
        <v>707.19</v>
      </c>
    </row>
    <row r="531" spans="2:7" x14ac:dyDescent="0.25">
      <c r="B531" s="19">
        <v>41410</v>
      </c>
      <c r="C531" s="20">
        <v>2</v>
      </c>
      <c r="D531" s="18" t="s">
        <v>21</v>
      </c>
      <c r="E531" s="18" t="s">
        <v>19</v>
      </c>
      <c r="F531" s="18" t="s">
        <v>33</v>
      </c>
      <c r="G531" s="21">
        <v>1254.32</v>
      </c>
    </row>
    <row r="532" spans="2:7" x14ac:dyDescent="0.25">
      <c r="B532" s="19">
        <v>41700</v>
      </c>
      <c r="C532" s="20">
        <v>1</v>
      </c>
      <c r="D532" s="18" t="s">
        <v>21</v>
      </c>
      <c r="E532" s="18" t="s">
        <v>19</v>
      </c>
      <c r="F532" s="18" t="s">
        <v>30</v>
      </c>
      <c r="G532" s="21">
        <v>2007.82</v>
      </c>
    </row>
    <row r="533" spans="2:7" x14ac:dyDescent="0.25">
      <c r="B533" s="19">
        <v>41663</v>
      </c>
      <c r="C533" s="20">
        <v>1</v>
      </c>
      <c r="D533" s="18" t="s">
        <v>25</v>
      </c>
      <c r="E533" s="18" t="s">
        <v>26</v>
      </c>
      <c r="F533" s="18" t="s">
        <v>30</v>
      </c>
      <c r="G533" s="21">
        <v>282.25</v>
      </c>
    </row>
    <row r="534" spans="2:7" x14ac:dyDescent="0.25">
      <c r="B534" s="19">
        <v>41905</v>
      </c>
      <c r="C534" s="20">
        <v>3</v>
      </c>
      <c r="D534" s="18" t="s">
        <v>31</v>
      </c>
      <c r="E534" s="18" t="s">
        <v>28</v>
      </c>
      <c r="F534" s="18" t="s">
        <v>20</v>
      </c>
      <c r="G534" s="21">
        <v>438.41</v>
      </c>
    </row>
    <row r="535" spans="2:7" x14ac:dyDescent="0.25">
      <c r="B535" s="19">
        <v>41642</v>
      </c>
      <c r="C535" s="20">
        <v>1</v>
      </c>
      <c r="D535" s="18" t="s">
        <v>21</v>
      </c>
      <c r="E535" s="18" t="s">
        <v>19</v>
      </c>
      <c r="F535" s="18" t="s">
        <v>27</v>
      </c>
      <c r="G535" s="21">
        <v>1119.3</v>
      </c>
    </row>
    <row r="536" spans="2:7" x14ac:dyDescent="0.25">
      <c r="B536" s="19">
        <v>41909</v>
      </c>
      <c r="C536" s="20">
        <v>3</v>
      </c>
      <c r="D536" s="18" t="s">
        <v>18</v>
      </c>
      <c r="E536" s="18" t="s">
        <v>19</v>
      </c>
      <c r="F536" s="18" t="s">
        <v>29</v>
      </c>
      <c r="G536" s="21">
        <v>2271.7800000000002</v>
      </c>
    </row>
    <row r="537" spans="2:7" x14ac:dyDescent="0.25">
      <c r="B537" s="19">
        <v>41419</v>
      </c>
      <c r="C537" s="20">
        <v>2</v>
      </c>
      <c r="D537" s="18" t="s">
        <v>31</v>
      </c>
      <c r="E537" s="18" t="s">
        <v>28</v>
      </c>
      <c r="F537" s="18" t="s">
        <v>27</v>
      </c>
      <c r="G537" s="21">
        <v>618.34</v>
      </c>
    </row>
    <row r="538" spans="2:7" x14ac:dyDescent="0.25">
      <c r="B538" s="19">
        <v>41412</v>
      </c>
      <c r="C538" s="20">
        <v>2</v>
      </c>
      <c r="D538" s="18" t="s">
        <v>21</v>
      </c>
      <c r="E538" s="18" t="s">
        <v>19</v>
      </c>
      <c r="F538" s="18" t="s">
        <v>33</v>
      </c>
      <c r="G538" s="21">
        <v>1422.45</v>
      </c>
    </row>
    <row r="539" spans="2:7" x14ac:dyDescent="0.25">
      <c r="B539" s="19">
        <v>41568</v>
      </c>
      <c r="C539" s="20">
        <v>4</v>
      </c>
      <c r="D539" s="18" t="s">
        <v>21</v>
      </c>
      <c r="E539" s="18" t="s">
        <v>19</v>
      </c>
      <c r="F539" s="18" t="s">
        <v>27</v>
      </c>
      <c r="G539" s="21">
        <v>1903.18</v>
      </c>
    </row>
    <row r="540" spans="2:7" x14ac:dyDescent="0.25">
      <c r="B540" s="19">
        <v>41701</v>
      </c>
      <c r="C540" s="20">
        <v>1</v>
      </c>
      <c r="D540" s="18" t="s">
        <v>9</v>
      </c>
      <c r="E540" s="18" t="s">
        <v>26</v>
      </c>
      <c r="F540" s="18" t="s">
        <v>22</v>
      </c>
      <c r="G540" s="21">
        <v>411.94</v>
      </c>
    </row>
    <row r="541" spans="2:7" x14ac:dyDescent="0.25">
      <c r="B541" s="19">
        <v>41535</v>
      </c>
      <c r="C541" s="20">
        <v>3</v>
      </c>
      <c r="D541" s="18" t="s">
        <v>25</v>
      </c>
      <c r="E541" s="18" t="s">
        <v>26</v>
      </c>
      <c r="F541" s="18" t="s">
        <v>24</v>
      </c>
      <c r="G541" s="21">
        <v>146.86000000000001</v>
      </c>
    </row>
    <row r="542" spans="2:7" x14ac:dyDescent="0.25">
      <c r="B542" s="19">
        <v>41471</v>
      </c>
      <c r="C542" s="20">
        <v>3</v>
      </c>
      <c r="D542" s="18" t="s">
        <v>21</v>
      </c>
      <c r="E542" s="18" t="s">
        <v>19</v>
      </c>
      <c r="F542" s="18" t="s">
        <v>29</v>
      </c>
      <c r="G542" s="21">
        <v>2916.52</v>
      </c>
    </row>
    <row r="543" spans="2:7" x14ac:dyDescent="0.25">
      <c r="B543" s="19">
        <v>41354</v>
      </c>
      <c r="C543" s="20">
        <v>1</v>
      </c>
      <c r="D543" s="18" t="s">
        <v>21</v>
      </c>
      <c r="E543" s="18" t="s">
        <v>19</v>
      </c>
      <c r="F543" s="18" t="s">
        <v>22</v>
      </c>
      <c r="G543" s="21">
        <v>647.72</v>
      </c>
    </row>
    <row r="544" spans="2:7" x14ac:dyDescent="0.25">
      <c r="B544" s="19">
        <v>41599</v>
      </c>
      <c r="C544" s="20">
        <v>4</v>
      </c>
      <c r="D544" s="18" t="s">
        <v>31</v>
      </c>
      <c r="E544" s="18" t="s">
        <v>28</v>
      </c>
      <c r="F544" s="18" t="s">
        <v>29</v>
      </c>
      <c r="G544" s="21">
        <v>890.08</v>
      </c>
    </row>
    <row r="545" spans="2:7" x14ac:dyDescent="0.25">
      <c r="B545" s="19">
        <v>41482</v>
      </c>
      <c r="C545" s="20">
        <v>3</v>
      </c>
      <c r="D545" s="18" t="s">
        <v>9</v>
      </c>
      <c r="E545" s="18" t="s">
        <v>26</v>
      </c>
      <c r="F545" s="18" t="s">
        <v>29</v>
      </c>
      <c r="G545" s="21">
        <v>1082.32</v>
      </c>
    </row>
    <row r="546" spans="2:7" x14ac:dyDescent="0.25">
      <c r="B546" s="19">
        <v>41571</v>
      </c>
      <c r="C546" s="20">
        <v>4</v>
      </c>
      <c r="D546" s="18" t="s">
        <v>25</v>
      </c>
      <c r="E546" s="18" t="s">
        <v>26</v>
      </c>
      <c r="F546" s="18" t="s">
        <v>32</v>
      </c>
      <c r="G546" s="21">
        <v>1536.94</v>
      </c>
    </row>
    <row r="547" spans="2:7" x14ac:dyDescent="0.25">
      <c r="B547" s="19">
        <v>41715</v>
      </c>
      <c r="C547" s="20">
        <v>1</v>
      </c>
      <c r="D547" s="18" t="s">
        <v>18</v>
      </c>
      <c r="E547" s="18" t="s">
        <v>19</v>
      </c>
      <c r="F547" s="18" t="s">
        <v>32</v>
      </c>
      <c r="G547" s="21">
        <v>747.3</v>
      </c>
    </row>
    <row r="548" spans="2:7" x14ac:dyDescent="0.25">
      <c r="B548" s="19">
        <v>41917</v>
      </c>
      <c r="C548" s="20">
        <v>4</v>
      </c>
      <c r="D548" s="18" t="s">
        <v>25</v>
      </c>
      <c r="E548" s="18" t="s">
        <v>26</v>
      </c>
      <c r="F548" s="18" t="s">
        <v>27</v>
      </c>
      <c r="G548" s="21">
        <v>641.13</v>
      </c>
    </row>
    <row r="549" spans="2:7" x14ac:dyDescent="0.25">
      <c r="B549" s="19">
        <v>41834</v>
      </c>
      <c r="C549" s="20">
        <v>3</v>
      </c>
      <c r="D549" s="18" t="s">
        <v>11</v>
      </c>
      <c r="E549" s="18" t="s">
        <v>23</v>
      </c>
      <c r="F549" s="18" t="s">
        <v>22</v>
      </c>
      <c r="G549" s="21">
        <v>377.61</v>
      </c>
    </row>
    <row r="550" spans="2:7" x14ac:dyDescent="0.25">
      <c r="B550" s="19">
        <v>41298</v>
      </c>
      <c r="C550" s="20">
        <v>1</v>
      </c>
      <c r="D550" s="18" t="s">
        <v>31</v>
      </c>
      <c r="E550" s="18" t="s">
        <v>28</v>
      </c>
      <c r="F550" s="18" t="s">
        <v>24</v>
      </c>
      <c r="G550" s="21">
        <v>1803.8</v>
      </c>
    </row>
    <row r="551" spans="2:7" x14ac:dyDescent="0.25">
      <c r="B551" s="19">
        <v>41312</v>
      </c>
      <c r="C551" s="20">
        <v>1</v>
      </c>
      <c r="D551" s="18" t="s">
        <v>8</v>
      </c>
      <c r="E551" s="18" t="s">
        <v>23</v>
      </c>
      <c r="F551" s="18" t="s">
        <v>20</v>
      </c>
      <c r="G551" s="21">
        <v>236.39</v>
      </c>
    </row>
    <row r="552" spans="2:7" x14ac:dyDescent="0.25">
      <c r="B552" s="19">
        <v>41968</v>
      </c>
      <c r="C552" s="20">
        <v>4</v>
      </c>
      <c r="D552" s="18" t="s">
        <v>10</v>
      </c>
      <c r="E552" s="18" t="s">
        <v>28</v>
      </c>
      <c r="F552" s="18" t="s">
        <v>29</v>
      </c>
      <c r="G552" s="21">
        <v>2269.14</v>
      </c>
    </row>
    <row r="553" spans="2:7" x14ac:dyDescent="0.25">
      <c r="B553" s="19">
        <v>41927</v>
      </c>
      <c r="C553" s="20">
        <v>4</v>
      </c>
      <c r="D553" s="18" t="s">
        <v>25</v>
      </c>
      <c r="E553" s="18" t="s">
        <v>26</v>
      </c>
      <c r="F553" s="18" t="s">
        <v>20</v>
      </c>
      <c r="G553" s="21">
        <v>447.97</v>
      </c>
    </row>
    <row r="554" spans="2:7" x14ac:dyDescent="0.25">
      <c r="B554" s="19">
        <v>41993</v>
      </c>
      <c r="C554" s="20">
        <v>4</v>
      </c>
      <c r="D554" s="18" t="s">
        <v>31</v>
      </c>
      <c r="E554" s="18" t="s">
        <v>28</v>
      </c>
      <c r="F554" s="18" t="s">
        <v>30</v>
      </c>
      <c r="G554" s="21">
        <v>2740.63</v>
      </c>
    </row>
    <row r="555" spans="2:7" x14ac:dyDescent="0.25">
      <c r="B555" s="19">
        <v>41984</v>
      </c>
      <c r="C555" s="20">
        <v>4</v>
      </c>
      <c r="D555" s="18" t="s">
        <v>10</v>
      </c>
      <c r="E555" s="18" t="s">
        <v>28</v>
      </c>
      <c r="F555" s="18" t="s">
        <v>29</v>
      </c>
      <c r="G555" s="21">
        <v>3006.2</v>
      </c>
    </row>
    <row r="556" spans="2:7" x14ac:dyDescent="0.25">
      <c r="B556" s="19">
        <v>41289</v>
      </c>
      <c r="C556" s="20">
        <v>1</v>
      </c>
      <c r="D556" s="18" t="s">
        <v>10</v>
      </c>
      <c r="E556" s="18" t="s">
        <v>28</v>
      </c>
      <c r="F556" s="18" t="s">
        <v>29</v>
      </c>
      <c r="G556" s="21">
        <v>2136.88</v>
      </c>
    </row>
    <row r="557" spans="2:7" x14ac:dyDescent="0.25">
      <c r="B557" s="19">
        <v>41734</v>
      </c>
      <c r="C557" s="20">
        <v>2</v>
      </c>
      <c r="D557" s="18" t="s">
        <v>18</v>
      </c>
      <c r="E557" s="18" t="s">
        <v>19</v>
      </c>
      <c r="F557" s="18" t="s">
        <v>22</v>
      </c>
      <c r="G557" s="21">
        <v>106.32</v>
      </c>
    </row>
    <row r="558" spans="2:7" x14ac:dyDescent="0.25">
      <c r="B558" s="19">
        <v>41830</v>
      </c>
      <c r="C558" s="20">
        <v>3</v>
      </c>
      <c r="D558" s="18" t="s">
        <v>31</v>
      </c>
      <c r="E558" s="18" t="s">
        <v>28</v>
      </c>
      <c r="F558" s="18" t="s">
        <v>24</v>
      </c>
      <c r="G558" s="21">
        <v>932.7</v>
      </c>
    </row>
    <row r="559" spans="2:7" x14ac:dyDescent="0.25">
      <c r="B559" s="19">
        <v>41418</v>
      </c>
      <c r="C559" s="20">
        <v>2</v>
      </c>
      <c r="D559" s="18" t="s">
        <v>18</v>
      </c>
      <c r="E559" s="18" t="s">
        <v>19</v>
      </c>
      <c r="F559" s="18" t="s">
        <v>30</v>
      </c>
      <c r="G559" s="21">
        <v>2697.94</v>
      </c>
    </row>
    <row r="560" spans="2:7" x14ac:dyDescent="0.25">
      <c r="B560" s="19">
        <v>41915</v>
      </c>
      <c r="C560" s="20">
        <v>4</v>
      </c>
      <c r="D560" s="18" t="s">
        <v>18</v>
      </c>
      <c r="E560" s="18" t="s">
        <v>19</v>
      </c>
      <c r="F560" s="18" t="s">
        <v>22</v>
      </c>
      <c r="G560" s="21">
        <v>205.62</v>
      </c>
    </row>
    <row r="561" spans="2:7" x14ac:dyDescent="0.25">
      <c r="B561" s="19">
        <v>41277</v>
      </c>
      <c r="C561" s="20">
        <v>1</v>
      </c>
      <c r="D561" s="18" t="s">
        <v>21</v>
      </c>
      <c r="E561" s="18" t="s">
        <v>19</v>
      </c>
      <c r="F561" s="18" t="s">
        <v>27</v>
      </c>
      <c r="G561" s="21">
        <v>323.25</v>
      </c>
    </row>
    <row r="562" spans="2:7" x14ac:dyDescent="0.25">
      <c r="B562" s="19">
        <v>41612</v>
      </c>
      <c r="C562" s="20">
        <v>4</v>
      </c>
      <c r="D562" s="18" t="s">
        <v>11</v>
      </c>
      <c r="E562" s="18" t="s">
        <v>23</v>
      </c>
      <c r="F562" s="18" t="s">
        <v>32</v>
      </c>
      <c r="G562" s="21">
        <v>1873.82</v>
      </c>
    </row>
    <row r="563" spans="2:7" x14ac:dyDescent="0.25">
      <c r="B563" s="19">
        <v>41423</v>
      </c>
      <c r="C563" s="20">
        <v>2</v>
      </c>
      <c r="D563" s="18" t="s">
        <v>9</v>
      </c>
      <c r="E563" s="18" t="s">
        <v>26</v>
      </c>
      <c r="F563" s="18" t="s">
        <v>22</v>
      </c>
      <c r="G563" s="21">
        <v>1955.71</v>
      </c>
    </row>
    <row r="564" spans="2:7" x14ac:dyDescent="0.25">
      <c r="B564" s="19">
        <v>41988</v>
      </c>
      <c r="C564" s="20">
        <v>4</v>
      </c>
      <c r="D564" s="18" t="s">
        <v>31</v>
      </c>
      <c r="E564" s="18" t="s">
        <v>28</v>
      </c>
      <c r="F564" s="18" t="s">
        <v>29</v>
      </c>
      <c r="G564" s="21">
        <v>3528.44</v>
      </c>
    </row>
    <row r="565" spans="2:7" x14ac:dyDescent="0.25">
      <c r="B565" s="19">
        <v>41506</v>
      </c>
      <c r="C565" s="20">
        <v>3</v>
      </c>
      <c r="D565" s="18" t="s">
        <v>21</v>
      </c>
      <c r="E565" s="18" t="s">
        <v>19</v>
      </c>
      <c r="F565" s="18" t="s">
        <v>30</v>
      </c>
      <c r="G565" s="21">
        <v>631.83000000000004</v>
      </c>
    </row>
    <row r="566" spans="2:7" x14ac:dyDescent="0.25">
      <c r="B566" s="19">
        <v>41930</v>
      </c>
      <c r="C566" s="20">
        <v>4</v>
      </c>
      <c r="D566" s="18" t="s">
        <v>31</v>
      </c>
      <c r="E566" s="18" t="s">
        <v>28</v>
      </c>
      <c r="F566" s="18" t="s">
        <v>27</v>
      </c>
      <c r="G566" s="21">
        <v>1932.41</v>
      </c>
    </row>
    <row r="567" spans="2:7" x14ac:dyDescent="0.25">
      <c r="B567" s="19">
        <v>41836</v>
      </c>
      <c r="C567" s="20">
        <v>3</v>
      </c>
      <c r="D567" s="18" t="s">
        <v>18</v>
      </c>
      <c r="E567" s="18" t="s">
        <v>19</v>
      </c>
      <c r="F567" s="18" t="s">
        <v>30</v>
      </c>
      <c r="G567" s="21">
        <v>1047</v>
      </c>
    </row>
    <row r="568" spans="2:7" x14ac:dyDescent="0.25">
      <c r="B568" s="19">
        <v>41765</v>
      </c>
      <c r="C568" s="20">
        <v>2</v>
      </c>
      <c r="D568" s="18" t="s">
        <v>10</v>
      </c>
      <c r="E568" s="18" t="s">
        <v>28</v>
      </c>
      <c r="F568" s="18" t="s">
        <v>24</v>
      </c>
      <c r="G568" s="21">
        <v>1205.3599999999999</v>
      </c>
    </row>
    <row r="569" spans="2:7" x14ac:dyDescent="0.25">
      <c r="B569" s="19">
        <v>41433</v>
      </c>
      <c r="C569" s="20">
        <v>2</v>
      </c>
      <c r="D569" s="18" t="s">
        <v>25</v>
      </c>
      <c r="E569" s="18" t="s">
        <v>26</v>
      </c>
      <c r="F569" s="18" t="s">
        <v>24</v>
      </c>
      <c r="G569" s="21">
        <v>203.54</v>
      </c>
    </row>
    <row r="570" spans="2:7" x14ac:dyDescent="0.25">
      <c r="B570" s="19">
        <v>41953</v>
      </c>
      <c r="C570" s="20">
        <v>4</v>
      </c>
      <c r="D570" s="18" t="s">
        <v>11</v>
      </c>
      <c r="E570" s="18" t="s">
        <v>23</v>
      </c>
      <c r="F570" s="18" t="s">
        <v>22</v>
      </c>
      <c r="G570" s="21">
        <v>1491.84</v>
      </c>
    </row>
    <row r="571" spans="2:7" x14ac:dyDescent="0.25">
      <c r="B571" s="19">
        <v>41630</v>
      </c>
      <c r="C571" s="20">
        <v>4</v>
      </c>
      <c r="D571" s="18" t="s">
        <v>10</v>
      </c>
      <c r="E571" s="18" t="s">
        <v>28</v>
      </c>
      <c r="F571" s="18" t="s">
        <v>29</v>
      </c>
      <c r="G571" s="21">
        <v>3885.96</v>
      </c>
    </row>
    <row r="572" spans="2:7" x14ac:dyDescent="0.25">
      <c r="B572" s="19">
        <v>41551</v>
      </c>
      <c r="C572" s="20">
        <v>4</v>
      </c>
      <c r="D572" s="18" t="s">
        <v>8</v>
      </c>
      <c r="E572" s="18" t="s">
        <v>23</v>
      </c>
      <c r="F572" s="18" t="s">
        <v>20</v>
      </c>
      <c r="G572" s="21">
        <v>654.94000000000005</v>
      </c>
    </row>
    <row r="573" spans="2:7" x14ac:dyDescent="0.25">
      <c r="B573" s="19">
        <v>41896</v>
      </c>
      <c r="C573" s="20">
        <v>3</v>
      </c>
      <c r="D573" s="18" t="s">
        <v>18</v>
      </c>
      <c r="E573" s="18" t="s">
        <v>19</v>
      </c>
      <c r="F573" s="18" t="s">
        <v>27</v>
      </c>
      <c r="G573" s="21">
        <v>131.82</v>
      </c>
    </row>
    <row r="574" spans="2:7" x14ac:dyDescent="0.25">
      <c r="B574" s="19">
        <v>41329</v>
      </c>
      <c r="C574" s="20">
        <v>1</v>
      </c>
      <c r="D574" s="18" t="s">
        <v>31</v>
      </c>
      <c r="E574" s="18" t="s">
        <v>28</v>
      </c>
      <c r="F574" s="18" t="s">
        <v>33</v>
      </c>
      <c r="G574" s="21">
        <v>1497.39</v>
      </c>
    </row>
    <row r="575" spans="2:7" x14ac:dyDescent="0.25">
      <c r="B575" s="19">
        <v>41466</v>
      </c>
      <c r="C575" s="20">
        <v>3</v>
      </c>
      <c r="D575" s="18" t="s">
        <v>10</v>
      </c>
      <c r="E575" s="18" t="s">
        <v>28</v>
      </c>
      <c r="F575" s="18" t="s">
        <v>27</v>
      </c>
      <c r="G575" s="21">
        <v>1213.98</v>
      </c>
    </row>
    <row r="576" spans="2:7" x14ac:dyDescent="0.25">
      <c r="B576" s="19">
        <v>41626</v>
      </c>
      <c r="C576" s="20">
        <v>4</v>
      </c>
      <c r="D576" s="18" t="s">
        <v>10</v>
      </c>
      <c r="E576" s="18" t="s">
        <v>28</v>
      </c>
      <c r="F576" s="18" t="s">
        <v>22</v>
      </c>
      <c r="G576" s="21">
        <v>343.29</v>
      </c>
    </row>
    <row r="577" spans="2:7" x14ac:dyDescent="0.25">
      <c r="B577" s="19">
        <v>41739</v>
      </c>
      <c r="C577" s="20">
        <v>2</v>
      </c>
      <c r="D577" s="18" t="s">
        <v>21</v>
      </c>
      <c r="E577" s="18" t="s">
        <v>19</v>
      </c>
      <c r="F577" s="18" t="s">
        <v>20</v>
      </c>
      <c r="G577" s="21">
        <v>572.65</v>
      </c>
    </row>
    <row r="578" spans="2:7" x14ac:dyDescent="0.25">
      <c r="B578" s="19">
        <v>41922</v>
      </c>
      <c r="C578" s="20">
        <v>4</v>
      </c>
      <c r="D578" s="18" t="s">
        <v>11</v>
      </c>
      <c r="E578" s="18" t="s">
        <v>23</v>
      </c>
      <c r="F578" s="18" t="s">
        <v>20</v>
      </c>
      <c r="G578" s="21">
        <v>481.34</v>
      </c>
    </row>
    <row r="579" spans="2:7" x14ac:dyDescent="0.25">
      <c r="B579" s="19">
        <v>41895</v>
      </c>
      <c r="C579" s="20">
        <v>3</v>
      </c>
      <c r="D579" s="18" t="s">
        <v>8</v>
      </c>
      <c r="E579" s="18" t="s">
        <v>23</v>
      </c>
      <c r="F579" s="18" t="s">
        <v>22</v>
      </c>
      <c r="G579" s="21">
        <v>699.74</v>
      </c>
    </row>
    <row r="580" spans="2:7" x14ac:dyDescent="0.25">
      <c r="B580" s="19">
        <v>41715</v>
      </c>
      <c r="C580" s="20">
        <v>1</v>
      </c>
      <c r="D580" s="18" t="s">
        <v>8</v>
      </c>
      <c r="E580" s="18" t="s">
        <v>23</v>
      </c>
      <c r="F580" s="18" t="s">
        <v>24</v>
      </c>
      <c r="G580" s="21">
        <v>1020.24</v>
      </c>
    </row>
    <row r="581" spans="2:7" x14ac:dyDescent="0.25">
      <c r="B581" s="19">
        <v>41632</v>
      </c>
      <c r="C581" s="20">
        <v>4</v>
      </c>
      <c r="D581" s="18" t="s">
        <v>9</v>
      </c>
      <c r="E581" s="18" t="s">
        <v>26</v>
      </c>
      <c r="F581" s="18" t="s">
        <v>32</v>
      </c>
      <c r="G581" s="21">
        <v>1502.67</v>
      </c>
    </row>
    <row r="582" spans="2:7" x14ac:dyDescent="0.25">
      <c r="B582" s="19">
        <v>41761</v>
      </c>
      <c r="C582" s="20">
        <v>2</v>
      </c>
      <c r="D582" s="18" t="s">
        <v>25</v>
      </c>
      <c r="E582" s="18" t="s">
        <v>26</v>
      </c>
      <c r="F582" s="18" t="s">
        <v>27</v>
      </c>
      <c r="G582" s="21">
        <v>514.98</v>
      </c>
    </row>
    <row r="583" spans="2:7" x14ac:dyDescent="0.25">
      <c r="B583" s="19">
        <v>41670</v>
      </c>
      <c r="C583" s="20">
        <v>1</v>
      </c>
      <c r="D583" s="18" t="s">
        <v>11</v>
      </c>
      <c r="E583" s="18" t="s">
        <v>23</v>
      </c>
      <c r="F583" s="18" t="s">
        <v>30</v>
      </c>
      <c r="G583" s="21">
        <v>1873.81</v>
      </c>
    </row>
    <row r="584" spans="2:7" x14ac:dyDescent="0.25">
      <c r="B584" s="19">
        <v>41770</v>
      </c>
      <c r="C584" s="20">
        <v>2</v>
      </c>
      <c r="D584" s="18" t="s">
        <v>8</v>
      </c>
      <c r="E584" s="18" t="s">
        <v>23</v>
      </c>
      <c r="F584" s="18" t="s">
        <v>29</v>
      </c>
      <c r="G584" s="21">
        <v>3970.44</v>
      </c>
    </row>
    <row r="585" spans="2:7" x14ac:dyDescent="0.25">
      <c r="B585" s="19">
        <v>41910</v>
      </c>
      <c r="C585" s="20">
        <v>3</v>
      </c>
      <c r="D585" s="18" t="s">
        <v>21</v>
      </c>
      <c r="E585" s="18" t="s">
        <v>19</v>
      </c>
      <c r="F585" s="18" t="s">
        <v>20</v>
      </c>
      <c r="G585" s="21">
        <v>641.79999999999995</v>
      </c>
    </row>
    <row r="586" spans="2:7" x14ac:dyDescent="0.25">
      <c r="B586" s="19">
        <v>41667</v>
      </c>
      <c r="C586" s="20">
        <v>1</v>
      </c>
      <c r="D586" s="18" t="s">
        <v>11</v>
      </c>
      <c r="E586" s="18" t="s">
        <v>23</v>
      </c>
      <c r="F586" s="18" t="s">
        <v>30</v>
      </c>
      <c r="G586" s="21">
        <v>850.7</v>
      </c>
    </row>
    <row r="587" spans="2:7" x14ac:dyDescent="0.25">
      <c r="B587" s="19">
        <v>41868</v>
      </c>
      <c r="C587" s="20">
        <v>3</v>
      </c>
      <c r="D587" s="18" t="s">
        <v>21</v>
      </c>
      <c r="E587" s="18" t="s">
        <v>19</v>
      </c>
      <c r="F587" s="18" t="s">
        <v>27</v>
      </c>
      <c r="G587" s="21">
        <v>1738.09</v>
      </c>
    </row>
    <row r="588" spans="2:7" x14ac:dyDescent="0.25">
      <c r="B588" s="19">
        <v>41876</v>
      </c>
      <c r="C588" s="20">
        <v>3</v>
      </c>
      <c r="D588" s="18" t="s">
        <v>8</v>
      </c>
      <c r="E588" s="18" t="s">
        <v>23</v>
      </c>
      <c r="F588" s="18" t="s">
        <v>30</v>
      </c>
      <c r="G588" s="21">
        <v>2612.98</v>
      </c>
    </row>
    <row r="589" spans="2:7" x14ac:dyDescent="0.25">
      <c r="B589" s="19">
        <v>41877</v>
      </c>
      <c r="C589" s="20">
        <v>3</v>
      </c>
      <c r="D589" s="18" t="s">
        <v>8</v>
      </c>
      <c r="E589" s="18" t="s">
        <v>23</v>
      </c>
      <c r="F589" s="18" t="s">
        <v>27</v>
      </c>
      <c r="G589" s="21">
        <v>176.72</v>
      </c>
    </row>
    <row r="590" spans="2:7" x14ac:dyDescent="0.25">
      <c r="B590" s="19">
        <v>41983</v>
      </c>
      <c r="C590" s="20">
        <v>4</v>
      </c>
      <c r="D590" s="18" t="s">
        <v>10</v>
      </c>
      <c r="E590" s="18" t="s">
        <v>28</v>
      </c>
      <c r="F590" s="18" t="s">
        <v>29</v>
      </c>
      <c r="G590" s="21">
        <v>1157.8599999999999</v>
      </c>
    </row>
    <row r="591" spans="2:7" x14ac:dyDescent="0.25">
      <c r="B591" s="19">
        <v>41433</v>
      </c>
      <c r="C591" s="20">
        <v>2</v>
      </c>
      <c r="D591" s="18" t="s">
        <v>25</v>
      </c>
      <c r="E591" s="18" t="s">
        <v>26</v>
      </c>
      <c r="F591" s="18" t="s">
        <v>30</v>
      </c>
      <c r="G591" s="21">
        <v>1609.45</v>
      </c>
    </row>
    <row r="592" spans="2:7" x14ac:dyDescent="0.25">
      <c r="B592" s="19">
        <v>41645</v>
      </c>
      <c r="C592" s="20">
        <v>1</v>
      </c>
      <c r="D592" s="18" t="s">
        <v>8</v>
      </c>
      <c r="E592" s="18" t="s">
        <v>23</v>
      </c>
      <c r="F592" s="18" t="s">
        <v>32</v>
      </c>
      <c r="G592" s="21">
        <v>1344.73</v>
      </c>
    </row>
    <row r="593" spans="2:7" x14ac:dyDescent="0.25">
      <c r="B593" s="19">
        <v>41450</v>
      </c>
      <c r="C593" s="20">
        <v>2</v>
      </c>
      <c r="D593" s="18" t="s">
        <v>10</v>
      </c>
      <c r="E593" s="18" t="s">
        <v>28</v>
      </c>
      <c r="F593" s="18" t="s">
        <v>24</v>
      </c>
      <c r="G593" s="21">
        <v>780.11</v>
      </c>
    </row>
    <row r="594" spans="2:7" x14ac:dyDescent="0.25">
      <c r="B594" s="19">
        <v>41481</v>
      </c>
      <c r="C594" s="20">
        <v>3</v>
      </c>
      <c r="D594" s="18" t="s">
        <v>18</v>
      </c>
      <c r="E594" s="18" t="s">
        <v>19</v>
      </c>
      <c r="F594" s="18" t="s">
        <v>22</v>
      </c>
      <c r="G594" s="21">
        <v>155.11000000000001</v>
      </c>
    </row>
    <row r="595" spans="2:7" x14ac:dyDescent="0.25">
      <c r="B595" s="19">
        <v>41989</v>
      </c>
      <c r="C595" s="20">
        <v>4</v>
      </c>
      <c r="D595" s="18" t="s">
        <v>21</v>
      </c>
      <c r="E595" s="18" t="s">
        <v>19</v>
      </c>
      <c r="F595" s="18" t="s">
        <v>22</v>
      </c>
      <c r="G595" s="21">
        <v>625.34</v>
      </c>
    </row>
    <row r="596" spans="2:7" x14ac:dyDescent="0.25">
      <c r="B596" s="19">
        <v>41306</v>
      </c>
      <c r="C596" s="20">
        <v>1</v>
      </c>
      <c r="D596" s="18" t="s">
        <v>8</v>
      </c>
      <c r="E596" s="18" t="s">
        <v>23</v>
      </c>
      <c r="F596" s="18" t="s">
        <v>24</v>
      </c>
      <c r="G596" s="21">
        <v>1406.4</v>
      </c>
    </row>
    <row r="597" spans="2:7" x14ac:dyDescent="0.25">
      <c r="B597" s="19">
        <v>41702</v>
      </c>
      <c r="C597" s="20">
        <v>1</v>
      </c>
      <c r="D597" s="18" t="s">
        <v>10</v>
      </c>
      <c r="E597" s="18" t="s">
        <v>28</v>
      </c>
      <c r="F597" s="18" t="s">
        <v>29</v>
      </c>
      <c r="G597" s="21">
        <v>1885.7</v>
      </c>
    </row>
    <row r="598" spans="2:7" x14ac:dyDescent="0.25">
      <c r="B598" s="19">
        <v>41482</v>
      </c>
      <c r="C598" s="20">
        <v>3</v>
      </c>
      <c r="D598" s="18" t="s">
        <v>9</v>
      </c>
      <c r="E598" s="18" t="s">
        <v>26</v>
      </c>
      <c r="F598" s="18" t="s">
        <v>24</v>
      </c>
      <c r="G598" s="21">
        <v>743.69</v>
      </c>
    </row>
    <row r="599" spans="2:7" x14ac:dyDescent="0.25">
      <c r="B599" s="19">
        <v>41727</v>
      </c>
      <c r="C599" s="20">
        <v>1</v>
      </c>
      <c r="D599" s="18" t="s">
        <v>18</v>
      </c>
      <c r="E599" s="18" t="s">
        <v>19</v>
      </c>
      <c r="F599" s="18" t="s">
        <v>29</v>
      </c>
      <c r="G599" s="21">
        <v>3948.18</v>
      </c>
    </row>
    <row r="600" spans="2:7" x14ac:dyDescent="0.25">
      <c r="B600" s="19">
        <v>41569</v>
      </c>
      <c r="C600" s="20">
        <v>4</v>
      </c>
      <c r="D600" s="18" t="s">
        <v>11</v>
      </c>
      <c r="E600" s="18" t="s">
        <v>23</v>
      </c>
      <c r="F600" s="18" t="s">
        <v>29</v>
      </c>
      <c r="G600" s="21">
        <v>2795.44</v>
      </c>
    </row>
    <row r="601" spans="2:7" x14ac:dyDescent="0.25">
      <c r="B601" s="19">
        <v>41388</v>
      </c>
      <c r="C601" s="20">
        <v>2</v>
      </c>
      <c r="D601" s="18" t="s">
        <v>8</v>
      </c>
      <c r="E601" s="18" t="s">
        <v>23</v>
      </c>
      <c r="F601" s="18" t="s">
        <v>32</v>
      </c>
      <c r="G601" s="21">
        <v>1619.32</v>
      </c>
    </row>
    <row r="602" spans="2:7" x14ac:dyDescent="0.25">
      <c r="B602" s="19">
        <v>41529</v>
      </c>
      <c r="C602" s="20">
        <v>3</v>
      </c>
      <c r="D602" s="18" t="s">
        <v>10</v>
      </c>
      <c r="E602" s="18" t="s">
        <v>28</v>
      </c>
      <c r="F602" s="18" t="s">
        <v>32</v>
      </c>
      <c r="G602" s="21">
        <v>510.13</v>
      </c>
    </row>
    <row r="603" spans="2:7" x14ac:dyDescent="0.25">
      <c r="B603" s="19">
        <v>41935</v>
      </c>
      <c r="C603" s="20">
        <v>4</v>
      </c>
      <c r="D603" s="18" t="s">
        <v>9</v>
      </c>
      <c r="E603" s="18" t="s">
        <v>26</v>
      </c>
      <c r="F603" s="18" t="s">
        <v>32</v>
      </c>
      <c r="G603" s="21">
        <v>1382.99</v>
      </c>
    </row>
    <row r="604" spans="2:7" x14ac:dyDescent="0.25">
      <c r="B604" s="19">
        <v>41617</v>
      </c>
      <c r="C604" s="20">
        <v>4</v>
      </c>
      <c r="D604" s="18" t="s">
        <v>11</v>
      </c>
      <c r="E604" s="18" t="s">
        <v>23</v>
      </c>
      <c r="F604" s="18" t="s">
        <v>30</v>
      </c>
      <c r="G604" s="21">
        <v>2423.66</v>
      </c>
    </row>
    <row r="605" spans="2:7" x14ac:dyDescent="0.25">
      <c r="B605" s="19">
        <v>41296</v>
      </c>
      <c r="C605" s="20">
        <v>1</v>
      </c>
      <c r="D605" s="18" t="s">
        <v>31</v>
      </c>
      <c r="E605" s="18" t="s">
        <v>28</v>
      </c>
      <c r="F605" s="18" t="s">
        <v>22</v>
      </c>
      <c r="G605" s="21">
        <v>1000.49</v>
      </c>
    </row>
  </sheetData>
  <pageMargins left="0.7" right="0.7" top="0.78740157499999996" bottom="0.78740157499999996" header="0.3" footer="0.3"/>
  <pageSetup paperSize="9" orientation="portrait" horizontalDpi="4294967295" verticalDpi="4294967295" r:id="rId1"/>
  <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B1:O22"/>
  <sheetViews>
    <sheetView showGridLines="0" zoomScaleNormal="100" workbookViewId="0"/>
  </sheetViews>
  <sheetFormatPr baseColWidth="10" defaultRowHeight="15" x14ac:dyDescent="0.25"/>
  <cols>
    <col min="1" max="1" width="8.5703125" style="17" customWidth="1"/>
    <col min="2" max="2" width="22.42578125" style="17" bestFit="1" customWidth="1"/>
    <col min="3" max="3" width="23.7109375" style="17" bestFit="1" customWidth="1"/>
    <col min="4" max="4" width="9" style="17" customWidth="1"/>
    <col min="5" max="5" width="13.42578125" style="17" customWidth="1"/>
    <col min="6" max="6" width="6.5703125" style="17" customWidth="1"/>
    <col min="7" max="7" width="8.42578125" style="17" customWidth="1"/>
    <col min="8" max="8" width="12" style="17" customWidth="1"/>
    <col min="9" max="9" width="9.42578125" style="17" customWidth="1"/>
    <col min="10" max="10" width="8.7109375" style="17" customWidth="1"/>
    <col min="11" max="11" width="12.28515625" style="17" customWidth="1"/>
    <col min="12" max="12" width="10.5703125" style="17" customWidth="1"/>
    <col min="13" max="13" width="7.5703125" style="17" customWidth="1"/>
    <col min="14" max="14" width="13.7109375" style="17" bestFit="1" customWidth="1"/>
    <col min="15" max="15" width="15.5703125" style="17" bestFit="1" customWidth="1"/>
    <col min="16" max="16384" width="11.42578125" style="17"/>
  </cols>
  <sheetData>
    <row r="1" spans="2:15" ht="45" customHeight="1" x14ac:dyDescent="0.7">
      <c r="B1" s="14" t="s">
        <v>55</v>
      </c>
    </row>
    <row r="2" spans="2:15" x14ac:dyDescent="0.25">
      <c r="B2" s="17" t="s">
        <v>56</v>
      </c>
    </row>
    <row r="5" spans="2:15" x14ac:dyDescent="0.25">
      <c r="B5" s="22" t="s">
        <v>39</v>
      </c>
      <c r="C5" s="22" t="s">
        <v>45</v>
      </c>
      <c r="D5"/>
      <c r="E5"/>
      <c r="F5"/>
      <c r="G5"/>
      <c r="H5"/>
      <c r="I5"/>
      <c r="J5"/>
      <c r="K5"/>
      <c r="L5"/>
      <c r="M5"/>
      <c r="N5"/>
      <c r="O5"/>
    </row>
    <row r="6" spans="2:15" x14ac:dyDescent="0.25">
      <c r="B6"/>
      <c r="C6" s="17" t="s">
        <v>28</v>
      </c>
      <c r="D6"/>
      <c r="E6" s="17" t="s">
        <v>46</v>
      </c>
      <c r="F6" s="17" t="s">
        <v>26</v>
      </c>
      <c r="G6"/>
      <c r="H6" s="17" t="s">
        <v>57</v>
      </c>
      <c r="I6" s="17" t="s">
        <v>23</v>
      </c>
      <c r="J6"/>
      <c r="K6" s="17" t="s">
        <v>47</v>
      </c>
      <c r="L6" s="17" t="s">
        <v>19</v>
      </c>
      <c r="M6"/>
      <c r="N6" s="17" t="s">
        <v>48</v>
      </c>
      <c r="O6" s="17" t="s">
        <v>38</v>
      </c>
    </row>
    <row r="7" spans="2:15" x14ac:dyDescent="0.25">
      <c r="B7" s="22" t="s">
        <v>37</v>
      </c>
      <c r="C7" s="17" t="s">
        <v>31</v>
      </c>
      <c r="D7" s="17" t="s">
        <v>10</v>
      </c>
      <c r="E7"/>
      <c r="F7" s="17" t="s">
        <v>9</v>
      </c>
      <c r="G7" s="17" t="s">
        <v>25</v>
      </c>
      <c r="H7"/>
      <c r="I7" s="17" t="s">
        <v>11</v>
      </c>
      <c r="J7" s="17" t="s">
        <v>8</v>
      </c>
      <c r="K7"/>
      <c r="L7" s="17" t="s">
        <v>18</v>
      </c>
      <c r="M7" s="17" t="s">
        <v>21</v>
      </c>
      <c r="N7"/>
      <c r="O7"/>
    </row>
    <row r="8" spans="2:15" x14ac:dyDescent="0.25">
      <c r="B8" s="24" t="s">
        <v>40</v>
      </c>
      <c r="C8" s="23">
        <v>68205.010000000009</v>
      </c>
      <c r="D8" s="23">
        <v>55535.46</v>
      </c>
      <c r="E8" s="23">
        <v>123740.47</v>
      </c>
      <c r="F8" s="23">
        <v>48227.86</v>
      </c>
      <c r="G8" s="23">
        <v>46567.159999999996</v>
      </c>
      <c r="H8" s="23">
        <v>94795.01999999999</v>
      </c>
      <c r="I8" s="23">
        <v>53557.130000000019</v>
      </c>
      <c r="J8" s="23">
        <v>45716.98000000001</v>
      </c>
      <c r="K8" s="23">
        <v>99274.11000000003</v>
      </c>
      <c r="L8" s="23">
        <v>44163.75</v>
      </c>
      <c r="M8" s="23">
        <v>55543.53</v>
      </c>
      <c r="N8" s="23">
        <v>99707.28</v>
      </c>
      <c r="O8" s="23">
        <v>417516.88000000012</v>
      </c>
    </row>
    <row r="9" spans="2:15" x14ac:dyDescent="0.25">
      <c r="B9" s="24" t="s">
        <v>41</v>
      </c>
      <c r="C9" s="23">
        <v>52788.920000000006</v>
      </c>
      <c r="D9" s="23">
        <v>59955.13</v>
      </c>
      <c r="E9" s="23">
        <v>112744.05</v>
      </c>
      <c r="F9" s="23">
        <v>34965.870000000003</v>
      </c>
      <c r="G9" s="23">
        <v>34312.770000000004</v>
      </c>
      <c r="H9" s="23">
        <v>69278.640000000014</v>
      </c>
      <c r="I9" s="23">
        <v>30498.400000000005</v>
      </c>
      <c r="J9" s="23">
        <v>46642.780000000006</v>
      </c>
      <c r="K9" s="23">
        <v>77141.180000000008</v>
      </c>
      <c r="L9" s="23">
        <v>45238.149999999994</v>
      </c>
      <c r="M9" s="23">
        <v>48941.64</v>
      </c>
      <c r="N9" s="23">
        <v>94179.79</v>
      </c>
      <c r="O9" s="23">
        <v>353343.66000000003</v>
      </c>
    </row>
    <row r="10" spans="2:15" x14ac:dyDescent="0.25">
      <c r="B10" s="24" t="s">
        <v>38</v>
      </c>
      <c r="C10" s="23">
        <v>120993.93000000002</v>
      </c>
      <c r="D10" s="23">
        <v>115490.59</v>
      </c>
      <c r="E10" s="23">
        <v>236484.52000000002</v>
      </c>
      <c r="F10" s="23">
        <v>83193.73000000001</v>
      </c>
      <c r="G10" s="23">
        <v>80879.929999999993</v>
      </c>
      <c r="H10" s="23">
        <v>164073.66</v>
      </c>
      <c r="I10" s="23">
        <v>84055.530000000028</v>
      </c>
      <c r="J10" s="23">
        <v>92359.760000000009</v>
      </c>
      <c r="K10" s="23">
        <v>176415.29000000004</v>
      </c>
      <c r="L10" s="23">
        <v>89401.9</v>
      </c>
      <c r="M10" s="23">
        <v>104485.17</v>
      </c>
      <c r="N10" s="23">
        <v>193887.07</v>
      </c>
      <c r="O10" s="23">
        <v>770860.54000000015</v>
      </c>
    </row>
    <row r="11" spans="2:15" x14ac:dyDescent="0.25">
      <c r="B11"/>
      <c r="C11"/>
      <c r="D11"/>
    </row>
    <row r="12" spans="2:15" x14ac:dyDescent="0.25">
      <c r="B12"/>
      <c r="C12"/>
      <c r="D12"/>
    </row>
    <row r="13" spans="2:15" x14ac:dyDescent="0.25">
      <c r="B13"/>
      <c r="C13"/>
      <c r="D13"/>
    </row>
    <row r="14" spans="2:15" x14ac:dyDescent="0.25">
      <c r="B14"/>
      <c r="C14"/>
      <c r="D14"/>
    </row>
    <row r="15" spans="2:15" x14ac:dyDescent="0.25">
      <c r="B15"/>
      <c r="C15"/>
      <c r="D15"/>
    </row>
    <row r="16" spans="2:15" x14ac:dyDescent="0.25">
      <c r="B16"/>
      <c r="C16"/>
      <c r="D16"/>
    </row>
    <row r="17" spans="2:4" x14ac:dyDescent="0.25">
      <c r="B17"/>
      <c r="C17"/>
      <c r="D17"/>
    </row>
    <row r="18" spans="2:4" x14ac:dyDescent="0.25">
      <c r="B18"/>
      <c r="C18"/>
      <c r="D18"/>
    </row>
    <row r="19" spans="2:4" x14ac:dyDescent="0.25">
      <c r="B19"/>
      <c r="C19"/>
      <c r="D19"/>
    </row>
    <row r="20" spans="2:4" x14ac:dyDescent="0.25">
      <c r="B20"/>
      <c r="C20"/>
      <c r="D20"/>
    </row>
    <row r="21" spans="2:4" x14ac:dyDescent="0.25">
      <c r="B21"/>
      <c r="C21"/>
      <c r="D21"/>
    </row>
    <row r="22" spans="2:4" x14ac:dyDescent="0.25">
      <c r="B22"/>
      <c r="C22"/>
      <c r="D22"/>
    </row>
  </sheetData>
  <pageMargins left="0.7" right="0.7" top="0.78740157499999996" bottom="0.78740157499999996" header="0.3" footer="0.3"/>
  <pageSetup paperSize="9" orientation="portrait" horizontalDpi="4294967295" verticalDpi="4294967295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Info</vt:lpstr>
      <vt:lpstr>Basisdaten</vt:lpstr>
      <vt:lpstr>aus PivotTable</vt:lpstr>
      <vt:lpstr>mit Schnellanalyse</vt:lpstr>
      <vt:lpstr>manuell aus Tabelle</vt:lpstr>
      <vt:lpstr>über empfohlene Diagramme</vt:lpstr>
      <vt:lpstr>für Filter</vt:lpstr>
      <vt:lpstr>Filter</vt:lpstr>
    </vt:vector>
  </TitlesOfParts>
  <Manager>Microsoft Press</Manager>
  <Company>Office-Performance Gieringer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25 – PivotChart</dc:subject>
  <dc:creator>Dietmar Gieringer</dc:creator>
  <dc:description>www.gieringer.de_x000d_
www.office-performance.de</dc:description>
  <cp:lastModifiedBy>Dietmar Gieringer</cp:lastModifiedBy>
  <cp:revision>42</cp:revision>
  <cp:lastPrinted>2013-09-20T18:20:36Z</cp:lastPrinted>
  <dcterms:created xsi:type="dcterms:W3CDTF">2013-01-04T11:19:10Z</dcterms:created>
  <dcterms:modified xsi:type="dcterms:W3CDTF">2013-12-09T14:33:18Z</dcterms:modified>
  <cp:category>Excel-Übungsdatei</cp:category>
</cp:coreProperties>
</file>