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okumente\Beratung\ms press\XL Maxibuch 2013\Kap_14\Buch\Kap14\"/>
    </mc:Choice>
  </mc:AlternateContent>
  <bookViews>
    <workbookView xWindow="0" yWindow="0" windowWidth="25200" windowHeight="11355"/>
  </bookViews>
  <sheets>
    <sheet name="AMORDEGRK" sheetId="1" r:id="rId1"/>
    <sheet name="AMORLINEARK" sheetId="2" r:id="rId2"/>
    <sheet name="DIA" sheetId="3" r:id="rId3"/>
    <sheet name="GDA" sheetId="4" r:id="rId4"/>
    <sheet name="GDA2" sheetId="5" r:id="rId5"/>
    <sheet name="LIA" sheetId="6" r:id="rId6"/>
    <sheet name="VDB" sheetId="7" r:id="rId7"/>
  </sheets>
  <calcPr calcId="152511" iterate="1" iterateDelta="9.9999999999999995E-7"/>
</workbook>
</file>

<file path=xl/calcChain.xml><?xml version="1.0" encoding="utf-8"?>
<calcChain xmlns="http://schemas.openxmlformats.org/spreadsheetml/2006/main">
  <c r="K25" i="5" l="1"/>
  <c r="G25" i="5"/>
  <c r="K18" i="5"/>
  <c r="K21" i="5" s="1"/>
  <c r="G18" i="5"/>
  <c r="L21" i="5" l="1"/>
  <c r="L25" i="5"/>
  <c r="K26" i="5" s="1"/>
  <c r="L26" i="5" s="1"/>
  <c r="C41" i="2" l="1"/>
  <c r="C42" i="2"/>
  <c r="C43" i="2" s="1"/>
  <c r="C44" i="2" s="1"/>
  <c r="D17" i="7" l="1"/>
  <c r="C17" i="7"/>
  <c r="D16" i="7"/>
  <c r="C16" i="7"/>
  <c r="D15" i="7"/>
  <c r="C15" i="7"/>
  <c r="D14" i="7"/>
  <c r="C14" i="7"/>
  <c r="D13" i="7"/>
  <c r="C13" i="7"/>
  <c r="D12" i="7"/>
  <c r="C12" i="7"/>
  <c r="D11" i="7"/>
  <c r="C11" i="7"/>
  <c r="D10" i="7"/>
  <c r="C10" i="7"/>
  <c r="D9" i="7"/>
  <c r="C9" i="7"/>
  <c r="J8" i="7"/>
  <c r="G8" i="7"/>
  <c r="D8" i="7"/>
  <c r="C8" i="7"/>
  <c r="G4" i="7"/>
  <c r="G5" i="7" s="1"/>
  <c r="D29" i="6"/>
  <c r="D28" i="6"/>
  <c r="D27" i="6"/>
  <c r="D26" i="6"/>
  <c r="D25" i="6"/>
  <c r="C25" i="6"/>
  <c r="C12" i="6"/>
  <c r="C11" i="6"/>
  <c r="C10" i="6"/>
  <c r="C9" i="6"/>
  <c r="F8" i="6"/>
  <c r="C8" i="6"/>
  <c r="F4" i="6"/>
  <c r="G11" i="6" s="1"/>
  <c r="C13" i="5"/>
  <c r="C12" i="5"/>
  <c r="C11" i="5"/>
  <c r="C10" i="5"/>
  <c r="C9" i="5"/>
  <c r="G8" i="5"/>
  <c r="C8" i="5"/>
  <c r="D8" i="5" s="1"/>
  <c r="G4" i="5"/>
  <c r="G21" i="5" s="1"/>
  <c r="C12" i="4"/>
  <c r="C11" i="4"/>
  <c r="C10" i="4"/>
  <c r="C9" i="4"/>
  <c r="F8" i="4"/>
  <c r="C8" i="4"/>
  <c r="F4" i="4"/>
  <c r="F5" i="4" s="1"/>
  <c r="C12" i="3"/>
  <c r="C11" i="3"/>
  <c r="C10" i="3"/>
  <c r="C9" i="3"/>
  <c r="F8" i="3"/>
  <c r="C8" i="3"/>
  <c r="F4" i="3"/>
  <c r="F5" i="3" s="1"/>
  <c r="D37" i="2"/>
  <c r="D26" i="2"/>
  <c r="D25" i="2"/>
  <c r="D24" i="2"/>
  <c r="D23" i="2"/>
  <c r="D22" i="2"/>
  <c r="D21" i="2"/>
  <c r="I20" i="2"/>
  <c r="D20" i="2"/>
  <c r="I19" i="2"/>
  <c r="D19" i="2"/>
  <c r="D18" i="2"/>
  <c r="D17" i="2"/>
  <c r="H16" i="2"/>
  <c r="D16" i="2"/>
  <c r="H15" i="2"/>
  <c r="D15" i="2"/>
  <c r="H14" i="2"/>
  <c r="D14" i="2"/>
  <c r="H13" i="2"/>
  <c r="D13" i="2"/>
  <c r="H12" i="2"/>
  <c r="D12" i="2"/>
  <c r="H11" i="2"/>
  <c r="D11" i="2"/>
  <c r="E11" i="2" s="1"/>
  <c r="C11" i="2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H10" i="2"/>
  <c r="H9" i="2"/>
  <c r="H8" i="2"/>
  <c r="H7" i="2"/>
  <c r="I7" i="2" s="1"/>
  <c r="I8" i="2" s="1"/>
  <c r="I9" i="2" s="1"/>
  <c r="I10" i="2" s="1"/>
  <c r="I11" i="2" s="1"/>
  <c r="I12" i="2" s="1"/>
  <c r="I13" i="2" s="1"/>
  <c r="I14" i="2" s="1"/>
  <c r="I15" i="2" s="1"/>
  <c r="I16" i="2" s="1"/>
  <c r="H3" i="2"/>
  <c r="D26" i="1"/>
  <c r="D25" i="1"/>
  <c r="D24" i="1"/>
  <c r="D23" i="1"/>
  <c r="D22" i="1"/>
  <c r="D21" i="1"/>
  <c r="I20" i="1"/>
  <c r="D20" i="1"/>
  <c r="I19" i="1"/>
  <c r="D19" i="1"/>
  <c r="D18" i="1"/>
  <c r="D17" i="1"/>
  <c r="D16" i="1"/>
  <c r="D15" i="1"/>
  <c r="D14" i="1"/>
  <c r="D13" i="1"/>
  <c r="D12" i="1"/>
  <c r="D11" i="1"/>
  <c r="E11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H7" i="1"/>
  <c r="I7" i="1" s="1"/>
  <c r="H3" i="1"/>
  <c r="H21" i="5" l="1"/>
  <c r="H4" i="5"/>
  <c r="H8" i="5" s="1"/>
  <c r="G9" i="5" s="1"/>
  <c r="H37" i="2"/>
  <c r="I37" i="2" s="1"/>
  <c r="H38" i="2" s="1"/>
  <c r="I38" i="2" s="1"/>
  <c r="H43" i="2"/>
  <c r="K27" i="5"/>
  <c r="E12" i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H8" i="1"/>
  <c r="I8" i="1" s="1"/>
  <c r="H9" i="1" s="1"/>
  <c r="I9" i="1" s="1"/>
  <c r="H10" i="1" s="1"/>
  <c r="I10" i="1" s="1"/>
  <c r="H8" i="7"/>
  <c r="K8" i="7" s="1"/>
  <c r="J9" i="7" s="1"/>
  <c r="D27" i="1"/>
  <c r="E12" i="2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G8" i="3"/>
  <c r="G9" i="3" s="1"/>
  <c r="G10" i="3" s="1"/>
  <c r="G11" i="3" s="1"/>
  <c r="G12" i="3" s="1"/>
  <c r="C26" i="6"/>
  <c r="C27" i="6" s="1"/>
  <c r="C28" i="6" s="1"/>
  <c r="C29" i="6" s="1"/>
  <c r="C30" i="6" s="1"/>
  <c r="G8" i="4"/>
  <c r="H9" i="5"/>
  <c r="G10" i="5" s="1"/>
  <c r="H25" i="5"/>
  <c r="G26" i="5" s="1"/>
  <c r="H26" i="5" s="1"/>
  <c r="D43" i="2"/>
  <c r="H33" i="2"/>
  <c r="D27" i="2"/>
  <c r="F9" i="4"/>
  <c r="G10" i="6"/>
  <c r="D42" i="2"/>
  <c r="G4" i="6"/>
  <c r="G8" i="6" s="1"/>
  <c r="F9" i="6" s="1"/>
  <c r="D44" i="2"/>
  <c r="G12" i="6"/>
  <c r="G9" i="6"/>
  <c r="D41" i="2"/>
  <c r="E41" i="2" s="1"/>
  <c r="G9" i="7" l="1"/>
  <c r="L27" i="5"/>
  <c r="K28" i="5" s="1"/>
  <c r="L28" i="5" s="1"/>
  <c r="K29" i="5" s="1"/>
  <c r="F9" i="3"/>
  <c r="F10" i="3" s="1"/>
  <c r="F11" i="3" s="1"/>
  <c r="F12" i="3" s="1"/>
  <c r="F13" i="3" s="1"/>
  <c r="E42" i="2"/>
  <c r="E43" i="2" s="1"/>
  <c r="E44" i="2" s="1"/>
  <c r="H10" i="5"/>
  <c r="G11" i="5" s="1"/>
  <c r="H11" i="1"/>
  <c r="I11" i="1" s="1"/>
  <c r="G27" i="5"/>
  <c r="H27" i="5" s="1"/>
  <c r="H39" i="2"/>
  <c r="I39" i="2" s="1"/>
  <c r="G9" i="4"/>
  <c r="F10" i="4" s="1"/>
  <c r="H9" i="7"/>
  <c r="K9" i="7" s="1"/>
  <c r="J10" i="7" s="1"/>
  <c r="F10" i="6"/>
  <c r="F11" i="6" s="1"/>
  <c r="F12" i="6" s="1"/>
  <c r="F13" i="6" s="1"/>
  <c r="L29" i="5" l="1"/>
  <c r="K30" i="5" s="1"/>
  <c r="G10" i="7"/>
  <c r="H11" i="5"/>
  <c r="G12" i="5" s="1"/>
  <c r="H10" i="7"/>
  <c r="K10" i="7" s="1"/>
  <c r="G10" i="4"/>
  <c r="F11" i="4" s="1"/>
  <c r="H12" i="1"/>
  <c r="I12" i="1" s="1"/>
  <c r="H40" i="2"/>
  <c r="I40" i="2" s="1"/>
  <c r="G28" i="5"/>
  <c r="H28" i="5" s="1"/>
  <c r="K11" i="7" l="1"/>
  <c r="K12" i="7" s="1"/>
  <c r="K13" i="7" s="1"/>
  <c r="K14" i="7" s="1"/>
  <c r="K15" i="7" s="1"/>
  <c r="K16" i="7" s="1"/>
  <c r="K17" i="7" s="1"/>
  <c r="G11" i="4"/>
  <c r="F12" i="4" s="1"/>
  <c r="H13" i="1"/>
  <c r="I13" i="1" s="1"/>
  <c r="H12" i="5"/>
  <c r="G13" i="5" s="1"/>
  <c r="G29" i="5"/>
  <c r="H29" i="5" s="1"/>
  <c r="J11" i="7"/>
  <c r="G11" i="7"/>
  <c r="J12" i="7" l="1"/>
  <c r="J13" i="7" s="1"/>
  <c r="J14" i="7" s="1"/>
  <c r="J15" i="7" s="1"/>
  <c r="J16" i="7" s="1"/>
  <c r="J17" i="7" s="1"/>
  <c r="J18" i="7" s="1"/>
  <c r="H14" i="1"/>
  <c r="I14" i="1" s="1"/>
  <c r="G12" i="4"/>
  <c r="F13" i="4" s="1"/>
  <c r="G30" i="5"/>
  <c r="H11" i="7"/>
  <c r="G12" i="7" s="1"/>
  <c r="H15" i="1" l="1"/>
  <c r="I15" i="1" s="1"/>
  <c r="H12" i="7"/>
  <c r="G13" i="7" s="1"/>
  <c r="H16" i="1" l="1"/>
  <c r="I16" i="1" s="1"/>
  <c r="H13" i="7"/>
  <c r="G14" i="7" s="1"/>
  <c r="H14" i="7" l="1"/>
  <c r="G15" i="7" s="1"/>
  <c r="H15" i="7" l="1"/>
  <c r="G16" i="7" s="1"/>
  <c r="H16" i="7" l="1"/>
  <c r="G17" i="7" s="1"/>
  <c r="H17" i="7" l="1"/>
  <c r="G18" i="7" s="1"/>
</calcChain>
</file>

<file path=xl/sharedStrings.xml><?xml version="1.0" encoding="utf-8"?>
<sst xmlns="http://schemas.openxmlformats.org/spreadsheetml/2006/main" count="147" uniqueCount="51">
  <si>
    <t>Kosten</t>
  </si>
  <si>
    <t>Jahre</t>
  </si>
  <si>
    <t>Datum</t>
  </si>
  <si>
    <t>Koeffizient</t>
  </si>
  <si>
    <t>Erste_Periode</t>
  </si>
  <si>
    <t>Restwert</t>
  </si>
  <si>
    <t>Periode</t>
  </si>
  <si>
    <t>Abschreibung</t>
  </si>
  <si>
    <t>Buchwert</t>
  </si>
  <si>
    <t>Rate</t>
  </si>
  <si>
    <t>Basis</t>
  </si>
  <si>
    <t>AMORDEGRK</t>
  </si>
  <si>
    <t>Tage360</t>
  </si>
  <si>
    <t xml:space="preserve"> </t>
  </si>
  <si>
    <t>AMORLINEARK</t>
  </si>
  <si>
    <t>PC</t>
  </si>
  <si>
    <t>im Kopf:</t>
  </si>
  <si>
    <t>Ansch_Wert</t>
  </si>
  <si>
    <t>Abschreibungsplan</t>
  </si>
  <si>
    <t>Nutzungsdauer</t>
  </si>
  <si>
    <t>erster Betrag</t>
  </si>
  <si>
    <t>Differenzbetrag</t>
  </si>
  <si>
    <t>Zr</t>
  </si>
  <si>
    <t>DIA</t>
  </si>
  <si>
    <t>Jahr</t>
  </si>
  <si>
    <t>Buchwert (Anfang)</t>
  </si>
  <si>
    <t>Rest</t>
  </si>
  <si>
    <t>Linearer Satz</t>
  </si>
  <si>
    <t>Faktor</t>
  </si>
  <si>
    <t>Abschreibungssatz</t>
  </si>
  <si>
    <t>GDA</t>
  </si>
  <si>
    <t>voll</t>
  </si>
  <si>
    <t>anteilig</t>
  </si>
  <si>
    <t>Monate</t>
  </si>
  <si>
    <t>GDA2</t>
  </si>
  <si>
    <t>%</t>
  </si>
  <si>
    <t>Abschreibungsplan (steuerlich zulässig)</t>
  </si>
  <si>
    <t>lin. Abschreibungssatz</t>
  </si>
  <si>
    <t>Abschreibungsbetrag</t>
  </si>
  <si>
    <t>LIA</t>
  </si>
  <si>
    <t>Anpassung (steuerlich zlässig)</t>
  </si>
  <si>
    <t>mit Wechsel</t>
  </si>
  <si>
    <t>VDB</t>
  </si>
  <si>
    <t>Abschreibungsplan (steuerlich zulässig bis 2007)</t>
  </si>
  <si>
    <t>Abschreibungsplan (steuerlich zulässig 2009 und 2010)</t>
  </si>
  <si>
    <t>max.</t>
  </si>
  <si>
    <t>(auch 30%)</t>
  </si>
  <si>
    <t>Erster_Zinstermin</t>
  </si>
  <si>
    <t>Termin</t>
  </si>
  <si>
    <t>Satz</t>
  </si>
  <si>
    <t>Kaufdatum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</si>
</sst>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dd/mm/yy;@"/>
  </numFmts>
  <fonts count="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44" fontId="3" fillId="0" borderId="4" xfId="3" applyFont="1" applyBorder="1"/>
    <xf numFmtId="0" fontId="3" fillId="0" borderId="4" xfId="0" applyFont="1" applyBorder="1"/>
    <xf numFmtId="2" fontId="3" fillId="0" borderId="4" xfId="0" applyNumberFormat="1" applyFont="1" applyBorder="1"/>
    <xf numFmtId="44" fontId="3" fillId="0" borderId="4" xfId="0" applyNumberFormat="1" applyFont="1" applyBorder="1"/>
    <xf numFmtId="14" fontId="3" fillId="0" borderId="0" xfId="0" applyNumberFormat="1" applyFont="1"/>
    <xf numFmtId="2" fontId="3" fillId="0" borderId="3" xfId="0" applyNumberFormat="1" applyFont="1" applyBorder="1"/>
    <xf numFmtId="44" fontId="3" fillId="0" borderId="0" xfId="0" applyNumberFormat="1" applyFont="1"/>
    <xf numFmtId="44" fontId="3" fillId="0" borderId="0" xfId="3" applyFont="1"/>
    <xf numFmtId="0" fontId="4" fillId="0" borderId="0" xfId="0" applyFont="1"/>
    <xf numFmtId="10" fontId="3" fillId="0" borderId="2" xfId="2" applyFont="1" applyBorder="1"/>
    <xf numFmtId="10" fontId="3" fillId="0" borderId="4" xfId="2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8" fontId="3" fillId="0" borderId="4" xfId="0" applyNumberFormat="1" applyFont="1" applyBorder="1"/>
    <xf numFmtId="44" fontId="3" fillId="0" borderId="3" xfId="0" applyNumberFormat="1" applyFont="1" applyBorder="1"/>
    <xf numFmtId="8" fontId="3" fillId="0" borderId="0" xfId="0" applyNumberFormat="1" applyFont="1"/>
    <xf numFmtId="0" fontId="3" fillId="0" borderId="5" xfId="0" applyFont="1" applyBorder="1"/>
    <xf numFmtId="44" fontId="3" fillId="0" borderId="3" xfId="3" applyFont="1" applyBorder="1"/>
    <xf numFmtId="10" fontId="3" fillId="0" borderId="0" xfId="2" applyFont="1"/>
    <xf numFmtId="10" fontId="3" fillId="0" borderId="3" xfId="2" applyFont="1" applyBorder="1"/>
    <xf numFmtId="44" fontId="3" fillId="0" borderId="2" xfId="3" applyFont="1" applyBorder="1"/>
    <xf numFmtId="44" fontId="3" fillId="2" borderId="2" xfId="1" applyFont="1" applyFill="1" applyBorder="1"/>
    <xf numFmtId="164" fontId="3" fillId="2" borderId="4" xfId="1" applyNumberFormat="1" applyFont="1" applyFill="1" applyBorder="1"/>
    <xf numFmtId="44" fontId="3" fillId="2" borderId="4" xfId="1" applyFont="1" applyFill="1" applyBorder="1"/>
    <xf numFmtId="10" fontId="3" fillId="2" borderId="4" xfId="2" applyFont="1" applyFill="1" applyBorder="1"/>
    <xf numFmtId="0" fontId="3" fillId="2" borderId="4" xfId="0" applyFont="1" applyFill="1" applyBorder="1"/>
    <xf numFmtId="0" fontId="3" fillId="3" borderId="4" xfId="0" applyFont="1" applyFill="1" applyBorder="1"/>
    <xf numFmtId="44" fontId="3" fillId="3" borderId="4" xfId="3" applyFont="1" applyFill="1" applyBorder="1"/>
    <xf numFmtId="0" fontId="3" fillId="4" borderId="0" xfId="0" applyFont="1" applyFill="1"/>
    <xf numFmtId="0" fontId="3" fillId="6" borderId="0" xfId="0" applyFont="1" applyFill="1"/>
    <xf numFmtId="44" fontId="3" fillId="6" borderId="0" xfId="0" applyNumberFormat="1" applyFont="1" applyFill="1"/>
    <xf numFmtId="44" fontId="3" fillId="2" borderId="2" xfId="3" applyFont="1" applyFill="1" applyBorder="1"/>
    <xf numFmtId="44" fontId="3" fillId="2" borderId="4" xfId="3" applyFont="1" applyFill="1" applyBorder="1"/>
    <xf numFmtId="44" fontId="3" fillId="5" borderId="4" xfId="0" applyNumberFormat="1" applyFont="1" applyFill="1" applyBorder="1"/>
    <xf numFmtId="0" fontId="3" fillId="5" borderId="4" xfId="0" applyFont="1" applyFill="1" applyBorder="1"/>
    <xf numFmtId="0" fontId="3" fillId="5" borderId="3" xfId="0" applyFont="1" applyFill="1" applyBorder="1"/>
    <xf numFmtId="0" fontId="3" fillId="7" borderId="3" xfId="0" applyFont="1" applyFill="1" applyBorder="1"/>
    <xf numFmtId="0" fontId="3" fillId="0" borderId="2" xfId="0" applyFont="1" applyBorder="1" applyAlignment="1">
      <alignment horizontal="center"/>
    </xf>
    <xf numFmtId="9" fontId="3" fillId="0" borderId="1" xfId="0" applyNumberFormat="1" applyFont="1" applyBorder="1"/>
    <xf numFmtId="9" fontId="3" fillId="8" borderId="1" xfId="0" applyNumberFormat="1" applyFont="1" applyFill="1" applyBorder="1"/>
    <xf numFmtId="10" fontId="3" fillId="0" borderId="1" xfId="0" applyNumberFormat="1" applyFont="1" applyBorder="1"/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4">
    <cellStyle name="Euro" xfId="1"/>
    <cellStyle name="Prozent" xfId="2" builtinId="5"/>
    <cellStyle name="Standard" xfId="0" builtinId="0"/>
    <cellStyle name="Währung" xfId="3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B3:K27"/>
  <sheetViews>
    <sheetView showGridLines="0" tabSelected="1" workbookViewId="0"/>
  </sheetViews>
  <sheetFormatPr baseColWidth="10" defaultRowHeight="15" x14ac:dyDescent="0.25"/>
  <cols>
    <col min="1" max="1" width="3.140625" style="1" customWidth="1"/>
    <col min="2" max="2" width="11.42578125" style="1"/>
    <col min="3" max="3" width="16.85546875" style="1" bestFit="1" customWidth="1"/>
    <col min="4" max="4" width="13.140625" style="1" customWidth="1"/>
    <col min="5" max="7" width="11.42578125" style="1"/>
    <col min="8" max="8" width="12.28515625" style="1" customWidth="1"/>
    <col min="9" max="9" width="11.42578125" style="1"/>
    <col min="10" max="10" width="12.28515625" style="1" customWidth="1"/>
    <col min="11" max="16384" width="11.42578125" style="1"/>
  </cols>
  <sheetData>
    <row r="3" spans="2:9" x14ac:dyDescent="0.25">
      <c r="C3" s="2" t="s">
        <v>17</v>
      </c>
      <c r="D3" s="28">
        <v>1000</v>
      </c>
      <c r="G3" s="2" t="s">
        <v>1</v>
      </c>
      <c r="H3" s="3">
        <f>ROUNDUP(1/D7,0)</f>
        <v>10</v>
      </c>
    </row>
    <row r="4" spans="2:9" x14ac:dyDescent="0.25">
      <c r="C4" s="4" t="s">
        <v>50</v>
      </c>
      <c r="D4" s="29">
        <v>41066</v>
      </c>
      <c r="G4" s="4" t="s">
        <v>3</v>
      </c>
      <c r="H4" s="33">
        <v>2.5</v>
      </c>
    </row>
    <row r="5" spans="2:9" x14ac:dyDescent="0.25">
      <c r="C5" s="4" t="s">
        <v>47</v>
      </c>
      <c r="D5" s="29">
        <v>41274</v>
      </c>
    </row>
    <row r="6" spans="2:9" x14ac:dyDescent="0.25">
      <c r="C6" s="4" t="s">
        <v>5</v>
      </c>
      <c r="D6" s="30">
        <v>0</v>
      </c>
      <c r="G6" s="5" t="s">
        <v>6</v>
      </c>
      <c r="H6" s="6" t="s">
        <v>7</v>
      </c>
      <c r="I6" s="6" t="s">
        <v>8</v>
      </c>
    </row>
    <row r="7" spans="2:9" x14ac:dyDescent="0.25">
      <c r="C7" s="4" t="s">
        <v>49</v>
      </c>
      <c r="D7" s="31">
        <v>0.1</v>
      </c>
      <c r="G7" s="4">
        <v>0</v>
      </c>
      <c r="H7" s="7">
        <f>ROUND(D3*$H$4*$D$7*DAYS360(D4,D5,TRUE)/360,0)</f>
        <v>142</v>
      </c>
      <c r="I7" s="7">
        <f>D3-H7</f>
        <v>858</v>
      </c>
    </row>
    <row r="8" spans="2:9" x14ac:dyDescent="0.25">
      <c r="C8" s="4" t="s">
        <v>10</v>
      </c>
      <c r="D8" s="32">
        <v>4</v>
      </c>
      <c r="G8" s="4">
        <v>1</v>
      </c>
      <c r="H8" s="7">
        <f t="shared" ref="H8:H16" si="0">ROUND(I7*$H$4*$D$7,0)</f>
        <v>215</v>
      </c>
      <c r="I8" s="7">
        <f t="shared" ref="I8:I16" si="1">I7-H8</f>
        <v>643</v>
      </c>
    </row>
    <row r="9" spans="2:9" x14ac:dyDescent="0.25">
      <c r="G9" s="4">
        <v>2</v>
      </c>
      <c r="H9" s="7">
        <f t="shared" si="0"/>
        <v>161</v>
      </c>
      <c r="I9" s="7">
        <f t="shared" si="1"/>
        <v>482</v>
      </c>
    </row>
    <row r="10" spans="2:9" x14ac:dyDescent="0.25">
      <c r="B10" s="5" t="s">
        <v>48</v>
      </c>
      <c r="C10" s="3"/>
      <c r="D10" s="6" t="s">
        <v>11</v>
      </c>
      <c r="E10" s="6" t="s">
        <v>8</v>
      </c>
      <c r="G10" s="4">
        <v>3</v>
      </c>
      <c r="H10" s="7">
        <f t="shared" si="0"/>
        <v>121</v>
      </c>
      <c r="I10" s="7">
        <f t="shared" si="1"/>
        <v>361</v>
      </c>
    </row>
    <row r="11" spans="2:9" x14ac:dyDescent="0.25">
      <c r="B11" s="4">
        <v>0</v>
      </c>
      <c r="C11" s="8">
        <f>YEAR(D5)</f>
        <v>2012</v>
      </c>
      <c r="D11" s="9">
        <f t="shared" ref="D11:D26" si="2">AMORDEGRC($D$3,$D$4,$D$5,$D$6,$B11,$D$7,$D$8)</f>
        <v>142</v>
      </c>
      <c r="E11" s="10">
        <f>D3-D11</f>
        <v>858</v>
      </c>
      <c r="G11" s="4">
        <v>4</v>
      </c>
      <c r="H11" s="7">
        <f t="shared" si="0"/>
        <v>90</v>
      </c>
      <c r="I11" s="7">
        <f t="shared" si="1"/>
        <v>271</v>
      </c>
    </row>
    <row r="12" spans="2:9" x14ac:dyDescent="0.25">
      <c r="B12" s="4">
        <v>1</v>
      </c>
      <c r="C12" s="8">
        <f t="shared" ref="C12:C26" si="3">C11+1</f>
        <v>2013</v>
      </c>
      <c r="D12" s="9">
        <f t="shared" si="2"/>
        <v>215</v>
      </c>
      <c r="E12" s="10">
        <f t="shared" ref="E12:E26" si="4">E11-D12</f>
        <v>643</v>
      </c>
      <c r="G12" s="4">
        <v>5</v>
      </c>
      <c r="H12" s="7">
        <f t="shared" si="0"/>
        <v>68</v>
      </c>
      <c r="I12" s="7">
        <f t="shared" si="1"/>
        <v>203</v>
      </c>
    </row>
    <row r="13" spans="2:9" x14ac:dyDescent="0.25">
      <c r="B13" s="4">
        <v>2</v>
      </c>
      <c r="C13" s="8">
        <f t="shared" si="3"/>
        <v>2014</v>
      </c>
      <c r="D13" s="9">
        <f t="shared" si="2"/>
        <v>161</v>
      </c>
      <c r="E13" s="10">
        <f t="shared" si="4"/>
        <v>482</v>
      </c>
      <c r="G13" s="4">
        <v>6</v>
      </c>
      <c r="H13" s="7">
        <f t="shared" si="0"/>
        <v>51</v>
      </c>
      <c r="I13" s="7">
        <f t="shared" si="1"/>
        <v>152</v>
      </c>
    </row>
    <row r="14" spans="2:9" x14ac:dyDescent="0.25">
      <c r="B14" s="4">
        <v>3</v>
      </c>
      <c r="C14" s="8">
        <f t="shared" si="3"/>
        <v>2015</v>
      </c>
      <c r="D14" s="9">
        <f t="shared" si="2"/>
        <v>121</v>
      </c>
      <c r="E14" s="10">
        <f t="shared" si="4"/>
        <v>361</v>
      </c>
      <c r="G14" s="4">
        <v>7</v>
      </c>
      <c r="H14" s="7">
        <f t="shared" si="0"/>
        <v>38</v>
      </c>
      <c r="I14" s="7">
        <f t="shared" si="1"/>
        <v>114</v>
      </c>
    </row>
    <row r="15" spans="2:9" x14ac:dyDescent="0.25">
      <c r="B15" s="4">
        <v>4</v>
      </c>
      <c r="C15" s="8">
        <f t="shared" si="3"/>
        <v>2016</v>
      </c>
      <c r="D15" s="9">
        <f t="shared" si="2"/>
        <v>90</v>
      </c>
      <c r="E15" s="10">
        <f t="shared" si="4"/>
        <v>271</v>
      </c>
      <c r="G15" s="4">
        <v>8</v>
      </c>
      <c r="H15" s="34">
        <f t="shared" si="0"/>
        <v>29</v>
      </c>
      <c r="I15" s="34">
        <f t="shared" si="1"/>
        <v>85</v>
      </c>
    </row>
    <row r="16" spans="2:9" x14ac:dyDescent="0.25">
      <c r="B16" s="4">
        <v>5</v>
      </c>
      <c r="C16" s="8">
        <f t="shared" si="3"/>
        <v>2017</v>
      </c>
      <c r="D16" s="9">
        <f t="shared" si="2"/>
        <v>68</v>
      </c>
      <c r="E16" s="10">
        <f t="shared" si="4"/>
        <v>203</v>
      </c>
      <c r="G16" s="4">
        <v>9</v>
      </c>
      <c r="H16" s="34">
        <f t="shared" si="0"/>
        <v>21</v>
      </c>
      <c r="I16" s="34">
        <f t="shared" si="1"/>
        <v>64</v>
      </c>
    </row>
    <row r="17" spans="2:11" x14ac:dyDescent="0.25">
      <c r="B17" s="4">
        <v>6</v>
      </c>
      <c r="C17" s="8">
        <f t="shared" si="3"/>
        <v>2018</v>
      </c>
      <c r="D17" s="9">
        <f t="shared" si="2"/>
        <v>51</v>
      </c>
      <c r="E17" s="10">
        <f t="shared" si="4"/>
        <v>152</v>
      </c>
    </row>
    <row r="18" spans="2:11" x14ac:dyDescent="0.25">
      <c r="B18" s="4">
        <v>7</v>
      </c>
      <c r="C18" s="8">
        <f t="shared" si="3"/>
        <v>2019</v>
      </c>
      <c r="D18" s="9">
        <f t="shared" si="2"/>
        <v>38</v>
      </c>
      <c r="E18" s="10">
        <f t="shared" si="4"/>
        <v>114</v>
      </c>
    </row>
    <row r="19" spans="2:11" x14ac:dyDescent="0.25">
      <c r="B19" s="4">
        <v>8</v>
      </c>
      <c r="C19" s="8">
        <f t="shared" si="3"/>
        <v>2020</v>
      </c>
      <c r="D19" s="9">
        <f t="shared" si="2"/>
        <v>57</v>
      </c>
      <c r="E19" s="10">
        <f t="shared" si="4"/>
        <v>57</v>
      </c>
      <c r="G19" s="35" t="s">
        <v>12</v>
      </c>
      <c r="H19" s="35" t="b">
        <v>1</v>
      </c>
      <c r="I19" s="35">
        <f>DAYS360(D4,D5,TRUE)</f>
        <v>204</v>
      </c>
    </row>
    <row r="20" spans="2:11" x14ac:dyDescent="0.25">
      <c r="B20" s="4">
        <v>9</v>
      </c>
      <c r="C20" s="8">
        <f t="shared" si="3"/>
        <v>2021</v>
      </c>
      <c r="D20" s="9">
        <f t="shared" si="2"/>
        <v>57</v>
      </c>
      <c r="E20" s="10">
        <f t="shared" si="4"/>
        <v>0</v>
      </c>
      <c r="G20" s="35" t="s">
        <v>12</v>
      </c>
      <c r="H20" s="35" t="b">
        <v>0</v>
      </c>
      <c r="I20" s="35">
        <f>DAYS360(D4,D5,FALSE)</f>
        <v>205</v>
      </c>
      <c r="J20" s="11"/>
    </row>
    <row r="21" spans="2:11" x14ac:dyDescent="0.25">
      <c r="B21" s="4">
        <v>10</v>
      </c>
      <c r="C21" s="8">
        <f t="shared" si="3"/>
        <v>2022</v>
      </c>
      <c r="D21" s="9">
        <f t="shared" si="2"/>
        <v>0</v>
      </c>
      <c r="E21" s="10">
        <f t="shared" si="4"/>
        <v>0</v>
      </c>
    </row>
    <row r="22" spans="2:11" x14ac:dyDescent="0.25">
      <c r="B22" s="4">
        <v>11</v>
      </c>
      <c r="C22" s="8">
        <f t="shared" si="3"/>
        <v>2023</v>
      </c>
      <c r="D22" s="9">
        <f t="shared" si="2"/>
        <v>0</v>
      </c>
      <c r="E22" s="10">
        <f t="shared" si="4"/>
        <v>0</v>
      </c>
    </row>
    <row r="23" spans="2:11" x14ac:dyDescent="0.25">
      <c r="B23" s="4">
        <v>12</v>
      </c>
      <c r="C23" s="8">
        <f t="shared" si="3"/>
        <v>2024</v>
      </c>
      <c r="D23" s="9">
        <f t="shared" si="2"/>
        <v>0</v>
      </c>
      <c r="E23" s="10">
        <f t="shared" si="4"/>
        <v>0</v>
      </c>
    </row>
    <row r="24" spans="2:11" x14ac:dyDescent="0.25">
      <c r="B24" s="4">
        <v>13</v>
      </c>
      <c r="C24" s="8">
        <f t="shared" si="3"/>
        <v>2025</v>
      </c>
      <c r="D24" s="9">
        <f t="shared" si="2"/>
        <v>0</v>
      </c>
      <c r="E24" s="10">
        <f t="shared" si="4"/>
        <v>0</v>
      </c>
    </row>
    <row r="25" spans="2:11" x14ac:dyDescent="0.25">
      <c r="B25" s="4">
        <v>14</v>
      </c>
      <c r="C25" s="8">
        <f t="shared" si="3"/>
        <v>2026</v>
      </c>
      <c r="D25" s="9">
        <f t="shared" si="2"/>
        <v>0</v>
      </c>
      <c r="E25" s="10">
        <f t="shared" si="4"/>
        <v>0</v>
      </c>
    </row>
    <row r="26" spans="2:11" x14ac:dyDescent="0.25">
      <c r="B26" s="4">
        <v>15</v>
      </c>
      <c r="C26" s="8">
        <f t="shared" si="3"/>
        <v>2027</v>
      </c>
      <c r="D26" s="9">
        <f t="shared" si="2"/>
        <v>0</v>
      </c>
      <c r="E26" s="10">
        <f t="shared" si="4"/>
        <v>0</v>
      </c>
    </row>
    <row r="27" spans="2:11" x14ac:dyDescent="0.25">
      <c r="D27" s="12">
        <f>SUM(D11:D26)</f>
        <v>1000</v>
      </c>
      <c r="E27" s="13"/>
      <c r="K27" s="1" t="s">
        <v>13</v>
      </c>
    </row>
  </sheetData>
  <phoneticPr fontId="1" type="noConversion"/>
  <pageMargins left="0.79" right="0.79" top="0.98" bottom="0.98" header="0.49" footer="0.49"/>
  <pageSetup paperSize="9" orientation="portrait" horizontalDpi="4294967293" verticalDpi="0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3:K44"/>
  <sheetViews>
    <sheetView showGridLines="0" workbookViewId="0"/>
  </sheetViews>
  <sheetFormatPr baseColWidth="10" defaultRowHeight="15" x14ac:dyDescent="0.25"/>
  <cols>
    <col min="1" max="1" width="3.140625" style="1" customWidth="1"/>
    <col min="2" max="2" width="11.42578125" style="1"/>
    <col min="3" max="3" width="13.28515625" style="1" customWidth="1"/>
    <col min="4" max="4" width="14.42578125" style="1" customWidth="1"/>
    <col min="5" max="5" width="11.85546875" style="1" customWidth="1"/>
    <col min="6" max="7" width="11.42578125" style="1"/>
    <col min="8" max="8" width="13.140625" style="1" customWidth="1"/>
    <col min="9" max="9" width="11.42578125" style="1"/>
    <col min="10" max="10" width="12.28515625" style="1" customWidth="1"/>
    <col min="11" max="16384" width="11.42578125" style="1"/>
  </cols>
  <sheetData>
    <row r="3" spans="2:9" x14ac:dyDescent="0.25">
      <c r="C3" s="2" t="s">
        <v>0</v>
      </c>
      <c r="D3" s="28">
        <v>1000</v>
      </c>
      <c r="G3" s="2" t="s">
        <v>1</v>
      </c>
      <c r="H3" s="3">
        <f>ROUNDUP(1/D7,0)</f>
        <v>10</v>
      </c>
    </row>
    <row r="4" spans="2:9" x14ac:dyDescent="0.25">
      <c r="C4" s="4" t="s">
        <v>2</v>
      </c>
      <c r="D4" s="29">
        <v>39605</v>
      </c>
    </row>
    <row r="5" spans="2:9" x14ac:dyDescent="0.25">
      <c r="C5" s="4" t="s">
        <v>4</v>
      </c>
      <c r="D5" s="29">
        <v>39813</v>
      </c>
    </row>
    <row r="6" spans="2:9" x14ac:dyDescent="0.25">
      <c r="C6" s="4" t="s">
        <v>5</v>
      </c>
      <c r="D6" s="30">
        <v>300</v>
      </c>
      <c r="G6" s="5" t="s">
        <v>6</v>
      </c>
      <c r="H6" s="6" t="s">
        <v>7</v>
      </c>
      <c r="I6" s="6" t="s">
        <v>8</v>
      </c>
    </row>
    <row r="7" spans="2:9" x14ac:dyDescent="0.25">
      <c r="C7" s="4" t="s">
        <v>9</v>
      </c>
      <c r="D7" s="31">
        <v>0.1</v>
      </c>
      <c r="G7" s="4">
        <v>0</v>
      </c>
      <c r="H7" s="7">
        <f>D3*$D$7*DAYS360(D4,D5,TRUE)/360</f>
        <v>56.666666666666664</v>
      </c>
      <c r="I7" s="7">
        <f>D3-H7</f>
        <v>943.33333333333337</v>
      </c>
    </row>
    <row r="8" spans="2:9" x14ac:dyDescent="0.25">
      <c r="C8" s="4" t="s">
        <v>10</v>
      </c>
      <c r="D8" s="32">
        <v>4</v>
      </c>
      <c r="G8" s="4">
        <v>1</v>
      </c>
      <c r="H8" s="7">
        <f t="shared" ref="H8:H16" si="0">$D$3*$D$7</f>
        <v>100</v>
      </c>
      <c r="I8" s="7">
        <f t="shared" ref="I8:I16" si="1">I7-H8</f>
        <v>843.33333333333337</v>
      </c>
    </row>
    <row r="9" spans="2:9" x14ac:dyDescent="0.25">
      <c r="G9" s="4">
        <v>2</v>
      </c>
      <c r="H9" s="7">
        <f t="shared" si="0"/>
        <v>100</v>
      </c>
      <c r="I9" s="7">
        <f t="shared" si="1"/>
        <v>743.33333333333337</v>
      </c>
    </row>
    <row r="10" spans="2:9" x14ac:dyDescent="0.25">
      <c r="B10" s="5" t="s">
        <v>6</v>
      </c>
      <c r="C10" s="3"/>
      <c r="D10" s="3" t="s">
        <v>14</v>
      </c>
      <c r="E10" s="6" t="s">
        <v>8</v>
      </c>
      <c r="G10" s="4">
        <v>3</v>
      </c>
      <c r="H10" s="7">
        <f t="shared" si="0"/>
        <v>100</v>
      </c>
      <c r="I10" s="7">
        <f t="shared" si="1"/>
        <v>643.33333333333337</v>
      </c>
    </row>
    <row r="11" spans="2:9" x14ac:dyDescent="0.25">
      <c r="B11" s="4">
        <v>0</v>
      </c>
      <c r="C11" s="8">
        <f>YEAR(D5)</f>
        <v>2008</v>
      </c>
      <c r="D11" s="9">
        <f t="shared" ref="D11:D26" si="2">AMORLINC($D$3,$D$4,$D$5,$D$6,$B11,$D$7,$D$8)</f>
        <v>56.666666666666671</v>
      </c>
      <c r="E11" s="10">
        <f>D3-D11</f>
        <v>943.33333333333337</v>
      </c>
      <c r="G11" s="4">
        <v>4</v>
      </c>
      <c r="H11" s="7">
        <f t="shared" si="0"/>
        <v>100</v>
      </c>
      <c r="I11" s="7">
        <f t="shared" si="1"/>
        <v>543.33333333333337</v>
      </c>
    </row>
    <row r="12" spans="2:9" x14ac:dyDescent="0.25">
      <c r="B12" s="4">
        <v>1</v>
      </c>
      <c r="C12" s="8">
        <f t="shared" ref="C12:C26" si="3">C11+1</f>
        <v>2009</v>
      </c>
      <c r="D12" s="9">
        <f t="shared" si="2"/>
        <v>100</v>
      </c>
      <c r="E12" s="10">
        <f t="shared" ref="E12:E26" si="4">E11-D12</f>
        <v>843.33333333333337</v>
      </c>
      <c r="G12" s="4">
        <v>5</v>
      </c>
      <c r="H12" s="7">
        <f t="shared" si="0"/>
        <v>100</v>
      </c>
      <c r="I12" s="7">
        <f t="shared" si="1"/>
        <v>443.33333333333337</v>
      </c>
    </row>
    <row r="13" spans="2:9" x14ac:dyDescent="0.25">
      <c r="B13" s="4">
        <v>2</v>
      </c>
      <c r="C13" s="8">
        <f t="shared" si="3"/>
        <v>2010</v>
      </c>
      <c r="D13" s="9">
        <f t="shared" si="2"/>
        <v>100</v>
      </c>
      <c r="E13" s="10">
        <f t="shared" si="4"/>
        <v>743.33333333333337</v>
      </c>
      <c r="G13" s="4">
        <v>6</v>
      </c>
      <c r="H13" s="7">
        <f t="shared" si="0"/>
        <v>100</v>
      </c>
      <c r="I13" s="7">
        <f t="shared" si="1"/>
        <v>343.33333333333337</v>
      </c>
    </row>
    <row r="14" spans="2:9" x14ac:dyDescent="0.25">
      <c r="B14" s="4">
        <v>3</v>
      </c>
      <c r="C14" s="8">
        <f t="shared" si="3"/>
        <v>2011</v>
      </c>
      <c r="D14" s="9">
        <f t="shared" si="2"/>
        <v>100</v>
      </c>
      <c r="E14" s="10">
        <f t="shared" si="4"/>
        <v>643.33333333333337</v>
      </c>
      <c r="G14" s="4">
        <v>7</v>
      </c>
      <c r="H14" s="7">
        <f t="shared" si="0"/>
        <v>100</v>
      </c>
      <c r="I14" s="7">
        <f t="shared" si="1"/>
        <v>243.33333333333337</v>
      </c>
    </row>
    <row r="15" spans="2:9" x14ac:dyDescent="0.25">
      <c r="B15" s="4">
        <v>4</v>
      </c>
      <c r="C15" s="8">
        <f t="shared" si="3"/>
        <v>2012</v>
      </c>
      <c r="D15" s="9">
        <f t="shared" si="2"/>
        <v>100</v>
      </c>
      <c r="E15" s="10">
        <f t="shared" si="4"/>
        <v>543.33333333333337</v>
      </c>
      <c r="G15" s="4">
        <v>8</v>
      </c>
      <c r="H15" s="7">
        <f t="shared" si="0"/>
        <v>100</v>
      </c>
      <c r="I15" s="7">
        <f t="shared" si="1"/>
        <v>143.33333333333337</v>
      </c>
    </row>
    <row r="16" spans="2:9" x14ac:dyDescent="0.25">
      <c r="B16" s="4">
        <v>5</v>
      </c>
      <c r="C16" s="8">
        <f t="shared" si="3"/>
        <v>2013</v>
      </c>
      <c r="D16" s="9">
        <f t="shared" si="2"/>
        <v>100</v>
      </c>
      <c r="E16" s="10">
        <f t="shared" si="4"/>
        <v>443.33333333333337</v>
      </c>
      <c r="G16" s="4">
        <v>9</v>
      </c>
      <c r="H16" s="7">
        <f t="shared" si="0"/>
        <v>100</v>
      </c>
      <c r="I16" s="7">
        <f t="shared" si="1"/>
        <v>43.333333333333371</v>
      </c>
    </row>
    <row r="17" spans="2:11" x14ac:dyDescent="0.25">
      <c r="B17" s="4">
        <v>6</v>
      </c>
      <c r="C17" s="8">
        <f t="shared" si="3"/>
        <v>2014</v>
      </c>
      <c r="D17" s="9">
        <f t="shared" si="2"/>
        <v>100</v>
      </c>
      <c r="E17" s="10">
        <f t="shared" si="4"/>
        <v>343.33333333333337</v>
      </c>
    </row>
    <row r="18" spans="2:11" x14ac:dyDescent="0.25">
      <c r="B18" s="4">
        <v>7</v>
      </c>
      <c r="C18" s="8">
        <f t="shared" si="3"/>
        <v>2015</v>
      </c>
      <c r="D18" s="9">
        <f t="shared" si="2"/>
        <v>43.333333333333371</v>
      </c>
      <c r="E18" s="10">
        <f t="shared" si="4"/>
        <v>300</v>
      </c>
    </row>
    <row r="19" spans="2:11" x14ac:dyDescent="0.25">
      <c r="B19" s="4">
        <v>8</v>
      </c>
      <c r="C19" s="8">
        <f t="shared" si="3"/>
        <v>2016</v>
      </c>
      <c r="D19" s="9">
        <f t="shared" si="2"/>
        <v>0</v>
      </c>
      <c r="E19" s="10">
        <f t="shared" si="4"/>
        <v>300</v>
      </c>
      <c r="G19" s="35" t="s">
        <v>12</v>
      </c>
      <c r="H19" s="35" t="b">
        <v>1</v>
      </c>
      <c r="I19" s="35">
        <f>DAYS360(D4,D5,TRUE)</f>
        <v>204</v>
      </c>
    </row>
    <row r="20" spans="2:11" x14ac:dyDescent="0.25">
      <c r="B20" s="4">
        <v>9</v>
      </c>
      <c r="C20" s="8">
        <f t="shared" si="3"/>
        <v>2017</v>
      </c>
      <c r="D20" s="9">
        <f t="shared" si="2"/>
        <v>0</v>
      </c>
      <c r="E20" s="10">
        <f t="shared" si="4"/>
        <v>300</v>
      </c>
      <c r="G20" s="35" t="s">
        <v>12</v>
      </c>
      <c r="H20" s="35" t="b">
        <v>0</v>
      </c>
      <c r="I20" s="35">
        <f>DAYS360(D4,D5,FALSE)</f>
        <v>205</v>
      </c>
      <c r="J20" s="11"/>
    </row>
    <row r="21" spans="2:11" x14ac:dyDescent="0.25">
      <c r="B21" s="4">
        <v>10</v>
      </c>
      <c r="C21" s="8">
        <f t="shared" si="3"/>
        <v>2018</v>
      </c>
      <c r="D21" s="9">
        <f t="shared" si="2"/>
        <v>0</v>
      </c>
      <c r="E21" s="10">
        <f t="shared" si="4"/>
        <v>300</v>
      </c>
    </row>
    <row r="22" spans="2:11" x14ac:dyDescent="0.25">
      <c r="B22" s="4">
        <v>11</v>
      </c>
      <c r="C22" s="8">
        <f t="shared" si="3"/>
        <v>2019</v>
      </c>
      <c r="D22" s="9">
        <f t="shared" si="2"/>
        <v>0</v>
      </c>
      <c r="E22" s="10">
        <f t="shared" si="4"/>
        <v>300</v>
      </c>
    </row>
    <row r="23" spans="2:11" x14ac:dyDescent="0.25">
      <c r="B23" s="4">
        <v>12</v>
      </c>
      <c r="C23" s="8">
        <f t="shared" si="3"/>
        <v>2020</v>
      </c>
      <c r="D23" s="9">
        <f t="shared" si="2"/>
        <v>0</v>
      </c>
      <c r="E23" s="10">
        <f t="shared" si="4"/>
        <v>300</v>
      </c>
    </row>
    <row r="24" spans="2:11" x14ac:dyDescent="0.25">
      <c r="B24" s="4">
        <v>13</v>
      </c>
      <c r="C24" s="8">
        <f t="shared" si="3"/>
        <v>2021</v>
      </c>
      <c r="D24" s="9">
        <f t="shared" si="2"/>
        <v>0</v>
      </c>
      <c r="E24" s="10">
        <f t="shared" si="4"/>
        <v>300</v>
      </c>
    </row>
    <row r="25" spans="2:11" x14ac:dyDescent="0.25">
      <c r="B25" s="4">
        <v>14</v>
      </c>
      <c r="C25" s="8">
        <f t="shared" si="3"/>
        <v>2022</v>
      </c>
      <c r="D25" s="9">
        <f t="shared" si="2"/>
        <v>0</v>
      </c>
      <c r="E25" s="10">
        <f t="shared" si="4"/>
        <v>300</v>
      </c>
    </row>
    <row r="26" spans="2:11" x14ac:dyDescent="0.25">
      <c r="B26" s="4">
        <v>15</v>
      </c>
      <c r="C26" s="8">
        <f t="shared" si="3"/>
        <v>2023</v>
      </c>
      <c r="D26" s="9">
        <f t="shared" si="2"/>
        <v>0</v>
      </c>
      <c r="E26" s="10">
        <f t="shared" si="4"/>
        <v>300</v>
      </c>
    </row>
    <row r="27" spans="2:11" x14ac:dyDescent="0.25">
      <c r="D27" s="12">
        <f>SUM(D11:D26)</f>
        <v>700.00000000000011</v>
      </c>
      <c r="E27" s="13"/>
      <c r="K27" s="1" t="s">
        <v>13</v>
      </c>
    </row>
    <row r="31" spans="2:11" x14ac:dyDescent="0.25">
      <c r="B31" s="15" t="s">
        <v>15</v>
      </c>
    </row>
    <row r="33" spans="2:9" x14ac:dyDescent="0.25">
      <c r="C33" s="2" t="s">
        <v>0</v>
      </c>
      <c r="D33" s="28">
        <v>3000</v>
      </c>
      <c r="G33" s="2" t="s">
        <v>1</v>
      </c>
      <c r="H33" s="3">
        <f>ROUNDUP(1/D37,0)</f>
        <v>3</v>
      </c>
    </row>
    <row r="34" spans="2:9" x14ac:dyDescent="0.25">
      <c r="C34" s="4" t="s">
        <v>2</v>
      </c>
      <c r="D34" s="29">
        <v>41552</v>
      </c>
    </row>
    <row r="35" spans="2:9" x14ac:dyDescent="0.25">
      <c r="C35" s="4" t="s">
        <v>4</v>
      </c>
      <c r="D35" s="29">
        <v>41640</v>
      </c>
    </row>
    <row r="36" spans="2:9" x14ac:dyDescent="0.25">
      <c r="C36" s="4" t="s">
        <v>5</v>
      </c>
      <c r="D36" s="30">
        <v>0</v>
      </c>
      <c r="G36" s="5" t="s">
        <v>6</v>
      </c>
      <c r="H36" s="6" t="s">
        <v>7</v>
      </c>
      <c r="I36" s="6" t="s">
        <v>8</v>
      </c>
    </row>
    <row r="37" spans="2:9" x14ac:dyDescent="0.25">
      <c r="C37" s="4" t="s">
        <v>9</v>
      </c>
      <c r="D37" s="31">
        <f>1/3</f>
        <v>0.33333333333333331</v>
      </c>
      <c r="G37" s="4">
        <v>0</v>
      </c>
      <c r="H37" s="7">
        <f>D33*$D$37*DAYS360(DATE(YEAR(D34),MONTH(D34),1),D35,TRUE)/360</f>
        <v>250</v>
      </c>
      <c r="I37" s="7">
        <f>D33-H37</f>
        <v>2750</v>
      </c>
    </row>
    <row r="38" spans="2:9" x14ac:dyDescent="0.25">
      <c r="C38" s="4" t="s">
        <v>10</v>
      </c>
      <c r="D38" s="32">
        <v>4</v>
      </c>
      <c r="G38" s="4">
        <v>1</v>
      </c>
      <c r="H38" s="7">
        <f>MIN($D$33*$D$37,I37)</f>
        <v>1000</v>
      </c>
      <c r="I38" s="7">
        <f>I37-H38</f>
        <v>1750</v>
      </c>
    </row>
    <row r="39" spans="2:9" x14ac:dyDescent="0.25">
      <c r="G39" s="4">
        <v>2</v>
      </c>
      <c r="H39" s="7">
        <f>MIN($D$33*$D$37,I38)</f>
        <v>1000</v>
      </c>
      <c r="I39" s="7">
        <f>I38-H39</f>
        <v>750</v>
      </c>
    </row>
    <row r="40" spans="2:9" x14ac:dyDescent="0.25">
      <c r="B40" s="5" t="s">
        <v>6</v>
      </c>
      <c r="C40" s="3"/>
      <c r="D40" s="3" t="s">
        <v>14</v>
      </c>
      <c r="E40" s="6" t="s">
        <v>8</v>
      </c>
      <c r="G40" s="4">
        <v>3</v>
      </c>
      <c r="H40" s="34">
        <f>MIN($D$33*$D$37,I39)</f>
        <v>750</v>
      </c>
      <c r="I40" s="34">
        <f>I39-H40</f>
        <v>0</v>
      </c>
    </row>
    <row r="41" spans="2:9" x14ac:dyDescent="0.25">
      <c r="B41" s="4">
        <v>0</v>
      </c>
      <c r="C41" s="8">
        <f>YEAR(D34)</f>
        <v>2013</v>
      </c>
      <c r="D41" s="9">
        <f>AMORLINC($D$33,DATE(YEAR($D$34),MONTH($D$34),1),$D$35,$D$36,B41,$D$37,$D$38)</f>
        <v>250</v>
      </c>
      <c r="E41" s="10">
        <f>D33-D41</f>
        <v>2750</v>
      </c>
    </row>
    <row r="42" spans="2:9" x14ac:dyDescent="0.25">
      <c r="B42" s="4">
        <v>1</v>
      </c>
      <c r="C42" s="8">
        <f>YEAR(D35)</f>
        <v>2014</v>
      </c>
      <c r="D42" s="9">
        <f>AMORLINC($D$33,DATE(YEAR($D$34),MONTH($D$34),1),$D$35,$D$36,B42,$D$37,$D$38)</f>
        <v>1000</v>
      </c>
      <c r="E42" s="10">
        <f>E41-D42</f>
        <v>1750</v>
      </c>
    </row>
    <row r="43" spans="2:9" x14ac:dyDescent="0.25">
      <c r="B43" s="4">
        <v>2</v>
      </c>
      <c r="C43" s="8">
        <f>C42+1</f>
        <v>2015</v>
      </c>
      <c r="D43" s="9">
        <f>AMORLINC($D$33,DATE(YEAR($D$34),MONTH($D$34),1),$D$35,$D$36,B43,$D$37,$D$38)</f>
        <v>1000</v>
      </c>
      <c r="E43" s="10">
        <f>E42-D43</f>
        <v>750</v>
      </c>
      <c r="G43" s="36" t="s">
        <v>16</v>
      </c>
      <c r="H43" s="37">
        <f>D33*D37*3/12</f>
        <v>250</v>
      </c>
    </row>
    <row r="44" spans="2:9" x14ac:dyDescent="0.25">
      <c r="B44" s="4">
        <v>3</v>
      </c>
      <c r="C44" s="8">
        <f>C43+1</f>
        <v>2016</v>
      </c>
      <c r="D44" s="9">
        <f>AMORLINC($D$33,DATE(YEAR($D$34),MONTH($D$34),1),$D$35,$D$36,B44,$D$37,$D$38)</f>
        <v>750</v>
      </c>
      <c r="E44" s="10">
        <f>E43-D44</f>
        <v>0</v>
      </c>
    </row>
  </sheetData>
  <phoneticPr fontId="1" type="noConversion"/>
  <pageMargins left="0.79" right="0.79" top="0.98" bottom="0.98" header="0.49" footer="0.49"/>
  <pageSetup paperSize="9" orientation="portrait" horizontalDpi="4294967293" verticalDpi="0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showGridLines="0" workbookViewId="0"/>
  </sheetViews>
  <sheetFormatPr baseColWidth="10" defaultRowHeight="15" x14ac:dyDescent="0.25"/>
  <cols>
    <col min="1" max="1" width="2.7109375" style="1" customWidth="1"/>
    <col min="2" max="2" width="14.5703125" style="1" customWidth="1"/>
    <col min="3" max="4" width="11.42578125" style="1"/>
    <col min="5" max="5" width="14.5703125" style="1" customWidth="1"/>
    <col min="6" max="6" width="17.85546875" style="1" customWidth="1"/>
    <col min="7" max="7" width="13.28515625" style="1" customWidth="1"/>
    <col min="8" max="16384" width="11.42578125" style="1"/>
  </cols>
  <sheetData>
    <row r="2" spans="2:7" x14ac:dyDescent="0.25">
      <c r="B2" s="2" t="s">
        <v>17</v>
      </c>
      <c r="C2" s="38">
        <v>1000</v>
      </c>
      <c r="E2" s="15" t="s">
        <v>18</v>
      </c>
      <c r="F2" s="15"/>
    </row>
    <row r="3" spans="2:7" x14ac:dyDescent="0.25">
      <c r="B3" s="4" t="s">
        <v>5</v>
      </c>
      <c r="C3" s="39">
        <v>0</v>
      </c>
    </row>
    <row r="4" spans="2:7" x14ac:dyDescent="0.25">
      <c r="B4" s="4" t="s">
        <v>19</v>
      </c>
      <c r="C4" s="32">
        <v>5</v>
      </c>
      <c r="E4" s="2" t="s">
        <v>20</v>
      </c>
      <c r="F4" s="27">
        <f>2*(C2-C3)/(C4+1)</f>
        <v>333.33333333333331</v>
      </c>
    </row>
    <row r="5" spans="2:7" x14ac:dyDescent="0.25">
      <c r="E5" s="4" t="s">
        <v>21</v>
      </c>
      <c r="F5" s="7">
        <f>F4/C4</f>
        <v>66.666666666666657</v>
      </c>
    </row>
    <row r="7" spans="2:7" x14ac:dyDescent="0.25">
      <c r="B7" s="5" t="s">
        <v>22</v>
      </c>
      <c r="C7" s="6" t="s">
        <v>23</v>
      </c>
      <c r="E7" s="5" t="s">
        <v>24</v>
      </c>
      <c r="F7" s="6" t="s">
        <v>25</v>
      </c>
      <c r="G7" s="6" t="s">
        <v>7</v>
      </c>
    </row>
    <row r="8" spans="2:7" x14ac:dyDescent="0.25">
      <c r="B8" s="4">
        <v>1</v>
      </c>
      <c r="C8" s="20">
        <f>SYD($C$2,$C$3,$C$4,B8)</f>
        <v>333.33333333333331</v>
      </c>
      <c r="E8" s="4">
        <v>1</v>
      </c>
      <c r="F8" s="7">
        <f>C2</f>
        <v>1000</v>
      </c>
      <c r="G8" s="10">
        <f>F4</f>
        <v>333.33333333333331</v>
      </c>
    </row>
    <row r="9" spans="2:7" x14ac:dyDescent="0.25">
      <c r="B9" s="4">
        <v>2</v>
      </c>
      <c r="C9" s="20">
        <f>SYD($C$2,$C$3,$C$4,B9)</f>
        <v>266.66666666666669</v>
      </c>
      <c r="E9" s="4">
        <v>2</v>
      </c>
      <c r="F9" s="10">
        <f>F8-G8</f>
        <v>666.66666666666674</v>
      </c>
      <c r="G9" s="10">
        <f>G8-$F$5</f>
        <v>266.66666666666663</v>
      </c>
    </row>
    <row r="10" spans="2:7" x14ac:dyDescent="0.25">
      <c r="B10" s="4">
        <v>3</v>
      </c>
      <c r="C10" s="20">
        <f>SYD($C$2,$C$3,$C$4,B10)</f>
        <v>200</v>
      </c>
      <c r="E10" s="4">
        <v>3</v>
      </c>
      <c r="F10" s="10">
        <f>F9-G9</f>
        <v>400.00000000000011</v>
      </c>
      <c r="G10" s="10">
        <f>G9-$F$5</f>
        <v>199.99999999999997</v>
      </c>
    </row>
    <row r="11" spans="2:7" x14ac:dyDescent="0.25">
      <c r="B11" s="4">
        <v>4</v>
      </c>
      <c r="C11" s="20">
        <f>SYD($C$2,$C$3,$C$4,B11)</f>
        <v>133.33333333333334</v>
      </c>
      <c r="E11" s="4">
        <v>4</v>
      </c>
      <c r="F11" s="10">
        <f>F10-G10</f>
        <v>200.00000000000014</v>
      </c>
      <c r="G11" s="10">
        <f>G10-$F$5</f>
        <v>133.33333333333331</v>
      </c>
    </row>
    <row r="12" spans="2:7" x14ac:dyDescent="0.25">
      <c r="B12" s="4">
        <v>5</v>
      </c>
      <c r="C12" s="20">
        <f>SYD($C$2,$C$3,$C$4,B12)</f>
        <v>66.666666666666671</v>
      </c>
      <c r="E12" s="4">
        <v>5</v>
      </c>
      <c r="F12" s="10">
        <f>F11-G11</f>
        <v>66.666666666666828</v>
      </c>
      <c r="G12" s="10">
        <f>G11-$F$5</f>
        <v>66.666666666666657</v>
      </c>
    </row>
    <row r="13" spans="2:7" x14ac:dyDescent="0.25">
      <c r="E13" s="4" t="s">
        <v>26</v>
      </c>
      <c r="F13" s="10">
        <f>F12-G12</f>
        <v>1.7053025658242404E-13</v>
      </c>
    </row>
  </sheetData>
  <phoneticPr fontId="1" type="noConversion"/>
  <pageMargins left="0.79" right="0.79" top="0.98" bottom="0.98" header="0.49" footer="0.49"/>
  <pageSetup paperSize="9" orientation="portrait" horizontalDpi="4294967293" verticalDpi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showGridLines="0" workbookViewId="0"/>
  </sheetViews>
  <sheetFormatPr baseColWidth="10" defaultRowHeight="15" x14ac:dyDescent="0.25"/>
  <cols>
    <col min="1" max="1" width="2.7109375" style="1" customWidth="1"/>
    <col min="2" max="2" width="14.42578125" style="1" customWidth="1"/>
    <col min="3" max="4" width="11.42578125" style="1"/>
    <col min="5" max="5" width="18.42578125" style="1" customWidth="1"/>
    <col min="6" max="6" width="17.7109375" style="1" customWidth="1"/>
    <col min="7" max="7" width="13.28515625" style="1" customWidth="1"/>
    <col min="8" max="16384" width="11.42578125" style="1"/>
  </cols>
  <sheetData>
    <row r="2" spans="2:7" x14ac:dyDescent="0.25">
      <c r="B2" s="2" t="s">
        <v>17</v>
      </c>
      <c r="C2" s="38">
        <v>1000</v>
      </c>
      <c r="E2" s="15" t="s">
        <v>18</v>
      </c>
    </row>
    <row r="3" spans="2:7" x14ac:dyDescent="0.25">
      <c r="B3" s="4" t="s">
        <v>5</v>
      </c>
      <c r="C3" s="39">
        <v>100</v>
      </c>
    </row>
    <row r="4" spans="2:7" x14ac:dyDescent="0.25">
      <c r="B4" s="4" t="s">
        <v>19</v>
      </c>
      <c r="C4" s="32">
        <v>5</v>
      </c>
      <c r="E4" s="2" t="s">
        <v>27</v>
      </c>
      <c r="F4" s="16">
        <f>1/C4</f>
        <v>0.2</v>
      </c>
    </row>
    <row r="5" spans="2:7" x14ac:dyDescent="0.25">
      <c r="B5" s="4" t="s">
        <v>28</v>
      </c>
      <c r="C5" s="32">
        <v>1</v>
      </c>
      <c r="E5" s="4" t="s">
        <v>29</v>
      </c>
      <c r="F5" s="17">
        <f>F4*C5</f>
        <v>0.2</v>
      </c>
    </row>
    <row r="7" spans="2:7" x14ac:dyDescent="0.25">
      <c r="B7" s="5" t="s">
        <v>22</v>
      </c>
      <c r="C7" s="6" t="s">
        <v>30</v>
      </c>
      <c r="E7" s="5" t="s">
        <v>24</v>
      </c>
      <c r="F7" s="6" t="s">
        <v>25</v>
      </c>
      <c r="G7" s="6" t="s">
        <v>7</v>
      </c>
    </row>
    <row r="8" spans="2:7" x14ac:dyDescent="0.25">
      <c r="B8" s="4">
        <v>1</v>
      </c>
      <c r="C8" s="20">
        <f>DDB($C$2,$C$3,$C$4,B8,$C$5)</f>
        <v>200</v>
      </c>
      <c r="E8" s="4">
        <v>1</v>
      </c>
      <c r="F8" s="7">
        <f>C2</f>
        <v>1000</v>
      </c>
      <c r="G8" s="10">
        <f>F8*$F$5</f>
        <v>200</v>
      </c>
    </row>
    <row r="9" spans="2:7" x14ac:dyDescent="0.25">
      <c r="B9" s="4">
        <v>2</v>
      </c>
      <c r="C9" s="20">
        <f>DDB($C$2,$C$3,$C$4,B9,$C$5)</f>
        <v>160</v>
      </c>
      <c r="E9" s="4">
        <v>2</v>
      </c>
      <c r="F9" s="10">
        <f>F8-G8</f>
        <v>800</v>
      </c>
      <c r="G9" s="10">
        <f>F9*$F$5</f>
        <v>160</v>
      </c>
    </row>
    <row r="10" spans="2:7" x14ac:dyDescent="0.25">
      <c r="B10" s="4">
        <v>3</v>
      </c>
      <c r="C10" s="20">
        <f>DDB($C$2,$C$3,$C$4,B10,$C$5)</f>
        <v>128.00000000000003</v>
      </c>
      <c r="E10" s="4">
        <v>3</v>
      </c>
      <c r="F10" s="10">
        <f>F9-G9</f>
        <v>640</v>
      </c>
      <c r="G10" s="10">
        <f>F10*$F$5</f>
        <v>128</v>
      </c>
    </row>
    <row r="11" spans="2:7" x14ac:dyDescent="0.25">
      <c r="B11" s="4">
        <v>4</v>
      </c>
      <c r="C11" s="20">
        <f>DDB($C$2,$C$3,$C$4,B11,$C$5)</f>
        <v>102.40000000000003</v>
      </c>
      <c r="E11" s="4">
        <v>4</v>
      </c>
      <c r="F11" s="10">
        <f>F10-G10</f>
        <v>512</v>
      </c>
      <c r="G11" s="10">
        <f>F11*$F$5</f>
        <v>102.4</v>
      </c>
    </row>
    <row r="12" spans="2:7" x14ac:dyDescent="0.25">
      <c r="B12" s="4">
        <v>5</v>
      </c>
      <c r="C12" s="20">
        <f>DDB($C$2,$C$3,$C$4,B12,$C$5)</f>
        <v>81.920000000000044</v>
      </c>
      <c r="E12" s="4">
        <v>5</v>
      </c>
      <c r="F12" s="10">
        <f>F11-G11</f>
        <v>409.6</v>
      </c>
      <c r="G12" s="10">
        <f>F12*$F$5</f>
        <v>81.920000000000016</v>
      </c>
    </row>
    <row r="13" spans="2:7" x14ac:dyDescent="0.25">
      <c r="E13" s="4" t="s">
        <v>26</v>
      </c>
      <c r="F13" s="10">
        <f>F12-G12</f>
        <v>327.68</v>
      </c>
    </row>
  </sheetData>
  <phoneticPr fontId="1" type="noConversion"/>
  <pageMargins left="0.79" right="0.79" top="0.98" bottom="0.98" header="0.49" footer="0.49"/>
  <pageSetup paperSize="9" orientation="portrait" horizontalDpi="4294967293" verticalDpi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0"/>
  <sheetViews>
    <sheetView showGridLines="0" workbookViewId="0"/>
  </sheetViews>
  <sheetFormatPr baseColWidth="10" defaultRowHeight="15" x14ac:dyDescent="0.25"/>
  <cols>
    <col min="1" max="1" width="2.7109375" style="1" customWidth="1"/>
    <col min="2" max="2" width="14.42578125" style="1" customWidth="1"/>
    <col min="3" max="4" width="11.42578125" style="1"/>
    <col min="5" max="5" width="14.140625" style="1" customWidth="1"/>
    <col min="6" max="6" width="19.85546875" style="1" customWidth="1"/>
    <col min="7" max="7" width="17.140625" style="1" customWidth="1"/>
    <col min="8" max="8" width="13.42578125" style="1" customWidth="1"/>
    <col min="9" max="9" width="11.42578125" style="1"/>
    <col min="10" max="10" width="21.28515625" style="1" customWidth="1"/>
    <col min="11" max="11" width="17.28515625" style="1" customWidth="1"/>
    <col min="12" max="16384" width="11.42578125" style="1"/>
  </cols>
  <sheetData>
    <row r="2" spans="2:12" x14ac:dyDescent="0.25">
      <c r="B2" s="2" t="s">
        <v>17</v>
      </c>
      <c r="C2" s="38">
        <v>1000</v>
      </c>
      <c r="F2" s="15" t="s">
        <v>18</v>
      </c>
    </row>
    <row r="3" spans="2:12" x14ac:dyDescent="0.25">
      <c r="B3" s="4" t="s">
        <v>5</v>
      </c>
      <c r="C3" s="39">
        <v>100</v>
      </c>
      <c r="G3" s="5" t="s">
        <v>31</v>
      </c>
      <c r="H3" s="6" t="s">
        <v>32</v>
      </c>
    </row>
    <row r="4" spans="2:12" x14ac:dyDescent="0.25">
      <c r="B4" s="4" t="s">
        <v>19</v>
      </c>
      <c r="C4" s="32">
        <v>5</v>
      </c>
      <c r="F4" s="23" t="s">
        <v>29</v>
      </c>
      <c r="G4" s="26">
        <f>1-(MAX(1,C3)/C2)^(1/C4)</f>
        <v>0.36904265551980675</v>
      </c>
      <c r="H4" s="17">
        <f>G4*C5/12</f>
        <v>0.18452132775990338</v>
      </c>
    </row>
    <row r="5" spans="2:12" x14ac:dyDescent="0.25">
      <c r="B5" s="4" t="s">
        <v>33</v>
      </c>
      <c r="C5" s="32">
        <v>6</v>
      </c>
      <c r="G5" s="25"/>
    </row>
    <row r="7" spans="2:12" x14ac:dyDescent="0.25">
      <c r="B7" s="5" t="s">
        <v>22</v>
      </c>
      <c r="C7" s="6" t="s">
        <v>34</v>
      </c>
      <c r="D7" s="6" t="s">
        <v>35</v>
      </c>
      <c r="F7" s="5" t="s">
        <v>24</v>
      </c>
      <c r="G7" s="6" t="s">
        <v>25</v>
      </c>
      <c r="H7" s="6" t="s">
        <v>7</v>
      </c>
    </row>
    <row r="8" spans="2:12" x14ac:dyDescent="0.25">
      <c r="B8" s="4">
        <v>1</v>
      </c>
      <c r="C8" s="20">
        <f t="shared" ref="C8:C13" si="0">DB($C$2,$C$3,$C$4,B8,$C$5)</f>
        <v>184.5</v>
      </c>
      <c r="D8" s="17">
        <f>C8/C2</f>
        <v>0.1845</v>
      </c>
      <c r="F8" s="4">
        <v>1</v>
      </c>
      <c r="G8" s="7">
        <f>C2</f>
        <v>1000</v>
      </c>
      <c r="H8" s="40">
        <f>H4*G8</f>
        <v>184.52132775990339</v>
      </c>
      <c r="I8" s="25"/>
    </row>
    <row r="9" spans="2:12" x14ac:dyDescent="0.25">
      <c r="B9" s="4">
        <v>2</v>
      </c>
      <c r="C9" s="20">
        <f t="shared" si="0"/>
        <v>300.91949999999997</v>
      </c>
      <c r="F9" s="4">
        <v>2</v>
      </c>
      <c r="G9" s="10">
        <f>G8-H8</f>
        <v>815.47867224009656</v>
      </c>
      <c r="H9" s="10">
        <f>G9*$G$4</f>
        <v>300.94641472325134</v>
      </c>
    </row>
    <row r="10" spans="2:12" x14ac:dyDescent="0.25">
      <c r="B10" s="4">
        <v>3</v>
      </c>
      <c r="C10" s="20">
        <f t="shared" si="0"/>
        <v>189.88020450000002</v>
      </c>
      <c r="F10" s="4">
        <v>3</v>
      </c>
      <c r="G10" s="10">
        <f>G9-H9</f>
        <v>514.53225751684522</v>
      </c>
      <c r="H10" s="10">
        <f>G10*$G$4</f>
        <v>189.88435066461761</v>
      </c>
    </row>
    <row r="11" spans="2:12" x14ac:dyDescent="0.25">
      <c r="B11" s="4">
        <v>4</v>
      </c>
      <c r="C11" s="20">
        <f t="shared" si="0"/>
        <v>119.81440903950001</v>
      </c>
      <c r="F11" s="4">
        <v>4</v>
      </c>
      <c r="G11" s="10">
        <f>G10-H10</f>
        <v>324.64790685222761</v>
      </c>
      <c r="H11" s="10">
        <f>G11*$G$4</f>
        <v>119.80892565369294</v>
      </c>
    </row>
    <row r="12" spans="2:12" x14ac:dyDescent="0.25">
      <c r="B12" s="4">
        <v>5</v>
      </c>
      <c r="C12" s="20">
        <f t="shared" si="0"/>
        <v>75.602892103924518</v>
      </c>
      <c r="F12" s="4">
        <v>5</v>
      </c>
      <c r="G12" s="10">
        <f>G11-H11</f>
        <v>204.83898119853467</v>
      </c>
      <c r="H12" s="10">
        <f>G12*$G$4</f>
        <v>75.594321575479</v>
      </c>
    </row>
    <row r="13" spans="2:12" x14ac:dyDescent="0.25">
      <c r="B13" s="4">
        <v>6</v>
      </c>
      <c r="C13" s="20">
        <f t="shared" si="0"/>
        <v>23.852712458788183</v>
      </c>
      <c r="F13" s="4" t="s">
        <v>26</v>
      </c>
      <c r="G13" s="10">
        <f>G12-H12</f>
        <v>129.24465962305567</v>
      </c>
    </row>
    <row r="14" spans="2:12" x14ac:dyDescent="0.25">
      <c r="C14" s="22"/>
    </row>
    <row r="16" spans="2:12" x14ac:dyDescent="0.25">
      <c r="F16" s="15" t="s">
        <v>43</v>
      </c>
      <c r="G16" s="15"/>
      <c r="H16" s="15"/>
      <c r="J16" s="15" t="s">
        <v>44</v>
      </c>
      <c r="K16" s="15"/>
      <c r="L16" s="15"/>
    </row>
    <row r="17" spans="6:12" x14ac:dyDescent="0.25">
      <c r="F17" s="15"/>
      <c r="J17" s="15"/>
    </row>
    <row r="18" spans="6:12" x14ac:dyDescent="0.25">
      <c r="F18" s="2" t="s">
        <v>37</v>
      </c>
      <c r="G18" s="47">
        <f>($C$2-$C$3)/$C$2/$C$4</f>
        <v>0.18</v>
      </c>
      <c r="J18" s="2" t="s">
        <v>37</v>
      </c>
      <c r="K18" s="45">
        <f>($C$2-$C$3)/$C$2/$C$4</f>
        <v>0.18</v>
      </c>
    </row>
    <row r="19" spans="6:12" x14ac:dyDescent="0.25">
      <c r="F19" s="2" t="s">
        <v>45</v>
      </c>
      <c r="G19" s="46">
        <v>0.2</v>
      </c>
      <c r="H19" s="1" t="s">
        <v>46</v>
      </c>
      <c r="J19" s="2" t="s">
        <v>45</v>
      </c>
      <c r="K19" s="45">
        <v>0.25</v>
      </c>
    </row>
    <row r="20" spans="6:12" x14ac:dyDescent="0.25">
      <c r="G20" s="5" t="s">
        <v>31</v>
      </c>
      <c r="H20" s="6" t="s">
        <v>32</v>
      </c>
      <c r="K20" s="5" t="s">
        <v>31</v>
      </c>
      <c r="L20" s="44" t="s">
        <v>32</v>
      </c>
    </row>
    <row r="21" spans="6:12" x14ac:dyDescent="0.25">
      <c r="F21" s="2" t="s">
        <v>29</v>
      </c>
      <c r="G21" s="45">
        <f>MIN(G4,2*G18,G19)</f>
        <v>0.2</v>
      </c>
      <c r="H21" s="45">
        <f>G21*$C$5/12</f>
        <v>0.10000000000000002</v>
      </c>
      <c r="J21" s="2" t="s">
        <v>29</v>
      </c>
      <c r="K21" s="45">
        <f>MIN(K4,2.5*K18,K19)</f>
        <v>0.25</v>
      </c>
      <c r="L21" s="45">
        <f>K21*$C$5/12</f>
        <v>0.125</v>
      </c>
    </row>
    <row r="22" spans="6:12" x14ac:dyDescent="0.25">
      <c r="G22" s="25"/>
      <c r="K22" s="25"/>
    </row>
    <row r="24" spans="6:12" x14ac:dyDescent="0.25">
      <c r="F24" s="5" t="s">
        <v>24</v>
      </c>
      <c r="G24" s="6" t="s">
        <v>25</v>
      </c>
      <c r="H24" s="6" t="s">
        <v>7</v>
      </c>
      <c r="J24" s="5" t="s">
        <v>24</v>
      </c>
      <c r="K24" s="44" t="s">
        <v>25</v>
      </c>
      <c r="L24" s="44" t="s">
        <v>7</v>
      </c>
    </row>
    <row r="25" spans="6:12" x14ac:dyDescent="0.25">
      <c r="F25" s="4">
        <v>1</v>
      </c>
      <c r="G25" s="7">
        <f>$C$2</f>
        <v>1000</v>
      </c>
      <c r="H25" s="40">
        <f>G25*H21</f>
        <v>100.00000000000001</v>
      </c>
      <c r="J25" s="4">
        <v>1</v>
      </c>
      <c r="K25" s="7">
        <f>$C$2</f>
        <v>1000</v>
      </c>
      <c r="L25" s="40">
        <f>K25*L21</f>
        <v>125</v>
      </c>
    </row>
    <row r="26" spans="6:12" x14ac:dyDescent="0.25">
      <c r="F26" s="4">
        <v>2</v>
      </c>
      <c r="G26" s="10">
        <f>G25-H25</f>
        <v>900</v>
      </c>
      <c r="H26" s="10">
        <f>G$21*G26</f>
        <v>180</v>
      </c>
      <c r="J26" s="4">
        <v>2</v>
      </c>
      <c r="K26" s="10">
        <f>K25-L25</f>
        <v>875</v>
      </c>
      <c r="L26" s="10">
        <f>K$21*K26</f>
        <v>218.75</v>
      </c>
    </row>
    <row r="27" spans="6:12" x14ac:dyDescent="0.25">
      <c r="F27" s="4">
        <v>3</v>
      </c>
      <c r="G27" s="10">
        <f>G26-H26</f>
        <v>720</v>
      </c>
      <c r="H27" s="10">
        <f t="shared" ref="H27:H29" si="1">G$21*G27</f>
        <v>144</v>
      </c>
      <c r="J27" s="4">
        <v>3</v>
      </c>
      <c r="K27" s="10">
        <f>K26-L26</f>
        <v>656.25</v>
      </c>
      <c r="L27" s="10">
        <f t="shared" ref="L27:L29" si="2">K$21*K27</f>
        <v>164.0625</v>
      </c>
    </row>
    <row r="28" spans="6:12" x14ac:dyDescent="0.25">
      <c r="F28" s="4">
        <v>4</v>
      </c>
      <c r="G28" s="10">
        <f>G27-H27</f>
        <v>576</v>
      </c>
      <c r="H28" s="10">
        <f t="shared" si="1"/>
        <v>115.2</v>
      </c>
      <c r="J28" s="4">
        <v>4</v>
      </c>
      <c r="K28" s="10">
        <f>K27-L27</f>
        <v>492.1875</v>
      </c>
      <c r="L28" s="10">
        <f t="shared" si="2"/>
        <v>123.046875</v>
      </c>
    </row>
    <row r="29" spans="6:12" x14ac:dyDescent="0.25">
      <c r="F29" s="4">
        <v>5</v>
      </c>
      <c r="G29" s="10">
        <f>G28-H28</f>
        <v>460.8</v>
      </c>
      <c r="H29" s="10">
        <f t="shared" si="1"/>
        <v>92.160000000000011</v>
      </c>
      <c r="J29" s="4">
        <v>5</v>
      </c>
      <c r="K29" s="10">
        <f>K28-L28</f>
        <v>369.140625</v>
      </c>
      <c r="L29" s="10">
        <f t="shared" si="2"/>
        <v>92.28515625</v>
      </c>
    </row>
    <row r="30" spans="6:12" x14ac:dyDescent="0.25">
      <c r="F30" s="4" t="s">
        <v>26</v>
      </c>
      <c r="G30" s="10">
        <f>G29-H29</f>
        <v>368.64</v>
      </c>
      <c r="J30" s="4" t="s">
        <v>26</v>
      </c>
      <c r="K30" s="10">
        <f>K29-L29</f>
        <v>276.85546875</v>
      </c>
    </row>
  </sheetData>
  <phoneticPr fontId="1" type="noConversion"/>
  <pageMargins left="0.79" right="0.79" top="0.98" bottom="0.98" header="0.49" footer="0.49"/>
  <pageSetup paperSize="9" orientation="portrait" horizontalDpi="4294967293" verticalDpi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0"/>
  <sheetViews>
    <sheetView showGridLines="0" workbookViewId="0"/>
  </sheetViews>
  <sheetFormatPr baseColWidth="10" defaultRowHeight="15" x14ac:dyDescent="0.25"/>
  <cols>
    <col min="1" max="1" width="2.7109375" style="1" customWidth="1"/>
    <col min="2" max="2" width="15" style="1" customWidth="1"/>
    <col min="3" max="3" width="11.42578125" style="1"/>
    <col min="4" max="4" width="14.140625" style="1" customWidth="1"/>
    <col min="5" max="5" width="19.85546875" style="1" customWidth="1"/>
    <col min="6" max="6" width="18.28515625" style="1" customWidth="1"/>
    <col min="7" max="7" width="13.42578125" style="1" customWidth="1"/>
    <col min="8" max="16384" width="11.42578125" style="1"/>
  </cols>
  <sheetData>
    <row r="2" spans="2:8" x14ac:dyDescent="0.25">
      <c r="B2" s="2" t="s">
        <v>17</v>
      </c>
      <c r="C2" s="38">
        <v>1000</v>
      </c>
      <c r="E2" s="15" t="s">
        <v>36</v>
      </c>
      <c r="F2" s="15"/>
      <c r="G2" s="15"/>
    </row>
    <row r="3" spans="2:8" x14ac:dyDescent="0.25">
      <c r="B3" s="4" t="s">
        <v>5</v>
      </c>
      <c r="C3" s="39">
        <v>100</v>
      </c>
      <c r="F3" s="5" t="s">
        <v>31</v>
      </c>
      <c r="G3" s="6" t="s">
        <v>32</v>
      </c>
    </row>
    <row r="4" spans="2:8" x14ac:dyDescent="0.25">
      <c r="B4" s="4" t="s">
        <v>19</v>
      </c>
      <c r="C4" s="32">
        <v>5</v>
      </c>
      <c r="E4" s="23" t="s">
        <v>38</v>
      </c>
      <c r="F4" s="24">
        <f>(C2-C3)/C4</f>
        <v>180</v>
      </c>
      <c r="G4" s="7">
        <f>F4*C5/12</f>
        <v>90</v>
      </c>
    </row>
    <row r="5" spans="2:8" x14ac:dyDescent="0.25">
      <c r="B5" s="4" t="s">
        <v>33</v>
      </c>
      <c r="C5" s="41">
        <v>6</v>
      </c>
      <c r="F5" s="25"/>
    </row>
    <row r="7" spans="2:8" x14ac:dyDescent="0.25">
      <c r="B7" s="5" t="s">
        <v>22</v>
      </c>
      <c r="C7" s="6" t="s">
        <v>39</v>
      </c>
      <c r="E7" s="5" t="s">
        <v>24</v>
      </c>
      <c r="F7" s="6" t="s">
        <v>25</v>
      </c>
      <c r="G7" s="6" t="s">
        <v>7</v>
      </c>
    </row>
    <row r="8" spans="2:8" x14ac:dyDescent="0.25">
      <c r="B8" s="42">
        <v>1</v>
      </c>
      <c r="C8" s="20">
        <f>SLN($C$2,$C$3,$C$4)</f>
        <v>180</v>
      </c>
      <c r="E8" s="4">
        <v>1</v>
      </c>
      <c r="F8" s="7">
        <f>C2</f>
        <v>1000</v>
      </c>
      <c r="G8" s="40">
        <f>G4</f>
        <v>90</v>
      </c>
      <c r="H8" s="25"/>
    </row>
    <row r="9" spans="2:8" x14ac:dyDescent="0.25">
      <c r="B9" s="42">
        <v>2</v>
      </c>
      <c r="C9" s="20">
        <f>SLN($C$2,$C$3,$C$4)</f>
        <v>180</v>
      </c>
      <c r="E9" s="4">
        <v>2</v>
      </c>
      <c r="F9" s="10">
        <f>F8-G8</f>
        <v>910</v>
      </c>
      <c r="G9" s="10">
        <f>$F$4</f>
        <v>180</v>
      </c>
    </row>
    <row r="10" spans="2:8" x14ac:dyDescent="0.25">
      <c r="B10" s="42">
        <v>3</v>
      </c>
      <c r="C10" s="20">
        <f>SLN($C$2,$C$3,$C$4)</f>
        <v>180</v>
      </c>
      <c r="E10" s="4">
        <v>3</v>
      </c>
      <c r="F10" s="10">
        <f>F9-G9</f>
        <v>730</v>
      </c>
      <c r="G10" s="10">
        <f>$F$4</f>
        <v>180</v>
      </c>
    </row>
    <row r="11" spans="2:8" x14ac:dyDescent="0.25">
      <c r="B11" s="42">
        <v>4</v>
      </c>
      <c r="C11" s="20">
        <f>SLN($C$2,$C$3,$C$4)</f>
        <v>180</v>
      </c>
      <c r="E11" s="4">
        <v>4</v>
      </c>
      <c r="F11" s="10">
        <f>F10-G10</f>
        <v>550</v>
      </c>
      <c r="G11" s="10">
        <f>$F$4</f>
        <v>180</v>
      </c>
    </row>
    <row r="12" spans="2:8" x14ac:dyDescent="0.25">
      <c r="B12" s="42">
        <v>5</v>
      </c>
      <c r="C12" s="20">
        <f>SLN($C$2,$C$3,$C$4)</f>
        <v>180</v>
      </c>
      <c r="E12" s="4">
        <v>5</v>
      </c>
      <c r="F12" s="10">
        <f>F11-G11</f>
        <v>370</v>
      </c>
      <c r="G12" s="10">
        <f>$F$4</f>
        <v>180</v>
      </c>
    </row>
    <row r="13" spans="2:8" x14ac:dyDescent="0.25">
      <c r="C13" s="22"/>
      <c r="E13" s="4" t="s">
        <v>26</v>
      </c>
      <c r="F13" s="10">
        <f>F12-G12</f>
        <v>190</v>
      </c>
    </row>
    <row r="14" spans="2:8" x14ac:dyDescent="0.25">
      <c r="C14" s="22"/>
    </row>
    <row r="17" spans="2:4" x14ac:dyDescent="0.25">
      <c r="B17" s="15" t="s">
        <v>40</v>
      </c>
      <c r="C17" s="15"/>
      <c r="D17" s="15"/>
    </row>
    <row r="19" spans="2:4" x14ac:dyDescent="0.25">
      <c r="B19" s="2" t="s">
        <v>17</v>
      </c>
      <c r="C19" s="38">
        <v>1000</v>
      </c>
    </row>
    <row r="20" spans="2:4" x14ac:dyDescent="0.25">
      <c r="B20" s="4" t="s">
        <v>5</v>
      </c>
      <c r="C20" s="39">
        <v>100</v>
      </c>
    </row>
    <row r="21" spans="2:4" x14ac:dyDescent="0.25">
      <c r="B21" s="4" t="s">
        <v>19</v>
      </c>
      <c r="C21" s="32">
        <v>5</v>
      </c>
    </row>
    <row r="22" spans="2:4" x14ac:dyDescent="0.25">
      <c r="B22" s="4" t="s">
        <v>33</v>
      </c>
      <c r="C22" s="32">
        <v>6</v>
      </c>
    </row>
    <row r="24" spans="2:4" x14ac:dyDescent="0.25">
      <c r="B24" s="5" t="s">
        <v>22</v>
      </c>
      <c r="C24" s="3" t="s">
        <v>8</v>
      </c>
      <c r="D24" s="6" t="s">
        <v>39</v>
      </c>
    </row>
    <row r="25" spans="2:4" x14ac:dyDescent="0.25">
      <c r="B25" s="43">
        <v>1</v>
      </c>
      <c r="C25" s="10">
        <f>C19</f>
        <v>1000</v>
      </c>
      <c r="D25" s="10">
        <f>SLN($C$2,$C$3,$C$4)*C22/12</f>
        <v>90</v>
      </c>
    </row>
    <row r="26" spans="2:4" x14ac:dyDescent="0.25">
      <c r="B26" s="42">
        <v>2</v>
      </c>
      <c r="C26" s="10">
        <f>C25-D25</f>
        <v>910</v>
      </c>
      <c r="D26" s="20">
        <f>SLN($C$2,$C$3,$C$4)</f>
        <v>180</v>
      </c>
    </row>
    <row r="27" spans="2:4" x14ac:dyDescent="0.25">
      <c r="B27" s="42">
        <v>3</v>
      </c>
      <c r="C27" s="10">
        <f>C26-D26</f>
        <v>730</v>
      </c>
      <c r="D27" s="20">
        <f>SLN($C$2,$C$3,$C$4)</f>
        <v>180</v>
      </c>
    </row>
    <row r="28" spans="2:4" x14ac:dyDescent="0.25">
      <c r="B28" s="42">
        <v>4</v>
      </c>
      <c r="C28" s="10">
        <f>C27-D27</f>
        <v>550</v>
      </c>
      <c r="D28" s="20">
        <f>SLN($C$2,$C$3,$C$4)</f>
        <v>180</v>
      </c>
    </row>
    <row r="29" spans="2:4" x14ac:dyDescent="0.25">
      <c r="B29" s="42">
        <v>5</v>
      </c>
      <c r="C29" s="10">
        <f>C28-D28</f>
        <v>370</v>
      </c>
      <c r="D29" s="20">
        <f>SLN($C$2,$C$3,$C$4)</f>
        <v>180</v>
      </c>
    </row>
    <row r="30" spans="2:4" x14ac:dyDescent="0.25">
      <c r="B30" s="43">
        <v>6</v>
      </c>
      <c r="C30" s="10">
        <f>C29-D29</f>
        <v>190</v>
      </c>
    </row>
  </sheetData>
  <phoneticPr fontId="1" type="noConversion"/>
  <pageMargins left="0.79" right="0.79" top="0.98" bottom="0.98" header="0.49" footer="0.49"/>
  <pageSetup paperSize="9" orientation="portrait" horizontalDpi="4294967293" verticalDpi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0"/>
  <sheetViews>
    <sheetView showGridLines="0" workbookViewId="0"/>
  </sheetViews>
  <sheetFormatPr baseColWidth="10" defaultRowHeight="15" x14ac:dyDescent="0.25"/>
  <cols>
    <col min="1" max="1" width="2.7109375" style="1" customWidth="1"/>
    <col min="2" max="2" width="16.28515625" style="1" customWidth="1"/>
    <col min="3" max="3" width="11.7109375" style="1" customWidth="1"/>
    <col min="4" max="5" width="11.42578125" style="1"/>
    <col min="6" max="6" width="18.42578125" style="1" customWidth="1"/>
    <col min="7" max="7" width="18.5703125" style="1" customWidth="1"/>
    <col min="8" max="8" width="13.7109375" style="1" customWidth="1"/>
    <col min="9" max="9" width="3.28515625" style="1" customWidth="1"/>
    <col min="10" max="10" width="20" style="1" customWidth="1"/>
    <col min="11" max="11" width="13.5703125" style="1" customWidth="1"/>
    <col min="12" max="16384" width="11.42578125" style="1"/>
  </cols>
  <sheetData>
    <row r="2" spans="2:11" x14ac:dyDescent="0.25">
      <c r="B2" s="2" t="s">
        <v>17</v>
      </c>
      <c r="C2" s="38">
        <v>1000</v>
      </c>
      <c r="D2" s="14"/>
      <c r="F2" s="15" t="s">
        <v>18</v>
      </c>
    </row>
    <row r="3" spans="2:11" x14ac:dyDescent="0.25">
      <c r="B3" s="4" t="s">
        <v>5</v>
      </c>
      <c r="C3" s="39">
        <v>100</v>
      </c>
      <c r="D3" s="14"/>
    </row>
    <row r="4" spans="2:11" x14ac:dyDescent="0.25">
      <c r="B4" s="4" t="s">
        <v>19</v>
      </c>
      <c r="C4" s="32">
        <v>10</v>
      </c>
      <c r="F4" s="2" t="s">
        <v>27</v>
      </c>
      <c r="G4" s="16">
        <f>1/C4</f>
        <v>0.1</v>
      </c>
    </row>
    <row r="5" spans="2:11" x14ac:dyDescent="0.25">
      <c r="B5" s="4" t="s">
        <v>28</v>
      </c>
      <c r="C5" s="32">
        <v>1</v>
      </c>
      <c r="F5" s="4" t="s">
        <v>29</v>
      </c>
      <c r="G5" s="17">
        <f>G4*C5</f>
        <v>0.1</v>
      </c>
    </row>
    <row r="6" spans="2:11" x14ac:dyDescent="0.25">
      <c r="J6" s="48" t="s">
        <v>41</v>
      </c>
      <c r="K6" s="49"/>
    </row>
    <row r="7" spans="2:11" x14ac:dyDescent="0.25">
      <c r="B7" s="5" t="s">
        <v>22</v>
      </c>
      <c r="C7" s="6" t="s">
        <v>42</v>
      </c>
      <c r="D7" s="6" t="s">
        <v>41</v>
      </c>
      <c r="F7" s="5" t="s">
        <v>24</v>
      </c>
      <c r="G7" s="6" t="s">
        <v>25</v>
      </c>
      <c r="H7" s="6" t="s">
        <v>7</v>
      </c>
      <c r="J7" s="18" t="s">
        <v>25</v>
      </c>
      <c r="K7" s="19" t="s">
        <v>7</v>
      </c>
    </row>
    <row r="8" spans="2:11" x14ac:dyDescent="0.25">
      <c r="B8" s="4">
        <v>1</v>
      </c>
      <c r="C8" s="20">
        <f t="shared" ref="C8:C17" si="0">VDB($C$2,$C$3,$C$4,B8-1,B8,1,TRUE)</f>
        <v>100</v>
      </c>
      <c r="D8" s="20">
        <f t="shared" ref="D8:D17" si="1">VDB($C$2,$C$3,$C$4,B8-1,B8,1,FALSE)</f>
        <v>100</v>
      </c>
      <c r="E8" s="13"/>
      <c r="F8" s="4">
        <v>1</v>
      </c>
      <c r="G8" s="7">
        <f>C2</f>
        <v>1000</v>
      </c>
      <c r="H8" s="10">
        <f t="shared" ref="H8:H17" si="2">G8*$G$5</f>
        <v>100</v>
      </c>
      <c r="J8" s="21">
        <f>C2</f>
        <v>1000</v>
      </c>
      <c r="K8" s="10">
        <f>H8</f>
        <v>100</v>
      </c>
    </row>
    <row r="9" spans="2:11" x14ac:dyDescent="0.25">
      <c r="B9" s="4">
        <v>2</v>
      </c>
      <c r="C9" s="20">
        <f t="shared" si="0"/>
        <v>90</v>
      </c>
      <c r="D9" s="20">
        <f t="shared" si="1"/>
        <v>90</v>
      </c>
      <c r="E9" s="13"/>
      <c r="F9" s="4">
        <v>2</v>
      </c>
      <c r="G9" s="10">
        <f t="shared" ref="G9:G18" si="3">G8-H8</f>
        <v>900</v>
      </c>
      <c r="H9" s="10">
        <f t="shared" si="2"/>
        <v>90</v>
      </c>
      <c r="J9" s="21">
        <f t="shared" ref="J9:J18" si="4">J8-K8</f>
        <v>900</v>
      </c>
      <c r="K9" s="10">
        <f>IF(H9&lt;(G9-$C$3)/($F$17-F9+1),(G9-$C$3)/($F$17-F9+1),H9)</f>
        <v>90</v>
      </c>
    </row>
    <row r="10" spans="2:11" x14ac:dyDescent="0.25">
      <c r="B10" s="4">
        <v>3</v>
      </c>
      <c r="C10" s="20">
        <f t="shared" si="0"/>
        <v>81</v>
      </c>
      <c r="D10" s="20">
        <f t="shared" si="1"/>
        <v>88.75</v>
      </c>
      <c r="E10" s="13"/>
      <c r="F10" s="4">
        <v>3</v>
      </c>
      <c r="G10" s="10">
        <f t="shared" si="3"/>
        <v>810</v>
      </c>
      <c r="H10" s="10">
        <f t="shared" si="2"/>
        <v>81</v>
      </c>
      <c r="J10" s="21">
        <f t="shared" si="4"/>
        <v>810</v>
      </c>
      <c r="K10" s="10">
        <f>IF(H10&lt;(G10-$C$3)/($F$17-F10+1),(G10-$C$3)/($F$17-F10+1),H10)</f>
        <v>88.75</v>
      </c>
    </row>
    <row r="11" spans="2:11" x14ac:dyDescent="0.25">
      <c r="B11" s="4">
        <v>4</v>
      </c>
      <c r="C11" s="20">
        <f t="shared" si="0"/>
        <v>72.90000000000002</v>
      </c>
      <c r="D11" s="20">
        <f t="shared" si="1"/>
        <v>88.75</v>
      </c>
      <c r="E11" s="13"/>
      <c r="F11" s="4">
        <v>4</v>
      </c>
      <c r="G11" s="10">
        <f t="shared" si="3"/>
        <v>729</v>
      </c>
      <c r="H11" s="10">
        <f t="shared" si="2"/>
        <v>72.900000000000006</v>
      </c>
      <c r="J11" s="21">
        <f t="shared" si="4"/>
        <v>721.25</v>
      </c>
      <c r="K11" s="10">
        <f t="shared" ref="K11:K17" si="5">K10</f>
        <v>88.75</v>
      </c>
    </row>
    <row r="12" spans="2:11" x14ac:dyDescent="0.25">
      <c r="B12" s="4">
        <v>5</v>
      </c>
      <c r="C12" s="20">
        <f t="shared" si="0"/>
        <v>65.610000000000014</v>
      </c>
      <c r="D12" s="20">
        <f t="shared" si="1"/>
        <v>88.75</v>
      </c>
      <c r="E12" s="13"/>
      <c r="F12" s="4">
        <v>5</v>
      </c>
      <c r="G12" s="10">
        <f t="shared" si="3"/>
        <v>656.1</v>
      </c>
      <c r="H12" s="10">
        <f t="shared" si="2"/>
        <v>65.61</v>
      </c>
      <c r="J12" s="21">
        <f t="shared" si="4"/>
        <v>632.5</v>
      </c>
      <c r="K12" s="10">
        <f t="shared" si="5"/>
        <v>88.75</v>
      </c>
    </row>
    <row r="13" spans="2:11" x14ac:dyDescent="0.25">
      <c r="B13" s="4">
        <v>6</v>
      </c>
      <c r="C13" s="20">
        <f t="shared" si="0"/>
        <v>59.049000000000028</v>
      </c>
      <c r="D13" s="20">
        <f t="shared" si="1"/>
        <v>88.75</v>
      </c>
      <c r="E13" s="13"/>
      <c r="F13" s="4">
        <v>6</v>
      </c>
      <c r="G13" s="10">
        <f t="shared" si="3"/>
        <v>590.49</v>
      </c>
      <c r="H13" s="10">
        <f t="shared" si="2"/>
        <v>59.049000000000007</v>
      </c>
      <c r="J13" s="21">
        <f t="shared" si="4"/>
        <v>543.75</v>
      </c>
      <c r="K13" s="10">
        <f t="shared" si="5"/>
        <v>88.75</v>
      </c>
    </row>
    <row r="14" spans="2:11" x14ac:dyDescent="0.25">
      <c r="B14" s="4">
        <v>7</v>
      </c>
      <c r="C14" s="20">
        <f t="shared" si="0"/>
        <v>53.144100000000016</v>
      </c>
      <c r="D14" s="20">
        <f t="shared" si="1"/>
        <v>88.75</v>
      </c>
      <c r="E14" s="13"/>
      <c r="F14" s="4">
        <v>7</v>
      </c>
      <c r="G14" s="10">
        <f t="shared" si="3"/>
        <v>531.44100000000003</v>
      </c>
      <c r="H14" s="10">
        <f t="shared" si="2"/>
        <v>53.144100000000009</v>
      </c>
      <c r="J14" s="21">
        <f t="shared" si="4"/>
        <v>455</v>
      </c>
      <c r="K14" s="10">
        <f t="shared" si="5"/>
        <v>88.75</v>
      </c>
    </row>
    <row r="15" spans="2:11" x14ac:dyDescent="0.25">
      <c r="B15" s="4">
        <v>8</v>
      </c>
      <c r="C15" s="20">
        <f t="shared" si="0"/>
        <v>47.829690000000021</v>
      </c>
      <c r="D15" s="20">
        <f t="shared" si="1"/>
        <v>88.75</v>
      </c>
      <c r="E15" s="13"/>
      <c r="F15" s="4">
        <v>8</v>
      </c>
      <c r="G15" s="10">
        <f t="shared" si="3"/>
        <v>478.29690000000005</v>
      </c>
      <c r="H15" s="10">
        <f t="shared" si="2"/>
        <v>47.829690000000006</v>
      </c>
      <c r="J15" s="21">
        <f t="shared" si="4"/>
        <v>366.25</v>
      </c>
      <c r="K15" s="10">
        <f t="shared" si="5"/>
        <v>88.75</v>
      </c>
    </row>
    <row r="16" spans="2:11" x14ac:dyDescent="0.25">
      <c r="B16" s="4">
        <v>9</v>
      </c>
      <c r="C16" s="20">
        <f t="shared" si="0"/>
        <v>43.046721000000019</v>
      </c>
      <c r="D16" s="20">
        <f t="shared" si="1"/>
        <v>88.75</v>
      </c>
      <c r="E16" s="13"/>
      <c r="F16" s="4">
        <v>9</v>
      </c>
      <c r="G16" s="10">
        <f t="shared" si="3"/>
        <v>430.46721000000002</v>
      </c>
      <c r="H16" s="10">
        <f t="shared" si="2"/>
        <v>43.046721000000005</v>
      </c>
      <c r="J16" s="21">
        <f t="shared" si="4"/>
        <v>277.5</v>
      </c>
      <c r="K16" s="10">
        <f t="shared" si="5"/>
        <v>88.75</v>
      </c>
    </row>
    <row r="17" spans="2:11" x14ac:dyDescent="0.25">
      <c r="B17" s="4">
        <v>10</v>
      </c>
      <c r="C17" s="20">
        <f t="shared" si="0"/>
        <v>38.742048900000015</v>
      </c>
      <c r="D17" s="20">
        <f t="shared" si="1"/>
        <v>88.75</v>
      </c>
      <c r="E17" s="13"/>
      <c r="F17" s="4">
        <v>10</v>
      </c>
      <c r="G17" s="10">
        <f t="shared" si="3"/>
        <v>387.42048900000003</v>
      </c>
      <c r="H17" s="10">
        <f t="shared" si="2"/>
        <v>38.742048900000007</v>
      </c>
      <c r="J17" s="21">
        <f t="shared" si="4"/>
        <v>188.75</v>
      </c>
      <c r="K17" s="10">
        <f t="shared" si="5"/>
        <v>88.75</v>
      </c>
    </row>
    <row r="18" spans="2:11" x14ac:dyDescent="0.25">
      <c r="G18" s="21">
        <f t="shared" si="3"/>
        <v>348.67844010000005</v>
      </c>
      <c r="J18" s="21">
        <f t="shared" si="4"/>
        <v>100</v>
      </c>
    </row>
    <row r="20" spans="2:11" x14ac:dyDescent="0.25">
      <c r="C20" s="22"/>
    </row>
  </sheetData>
  <mergeCells count="1">
    <mergeCell ref="J6:K6"/>
  </mergeCells>
  <phoneticPr fontId="1" type="noConversion"/>
  <pageMargins left="0.79" right="0.79" top="0.98" bottom="0.98" header="0.49" footer="0.49"/>
  <pageSetup paperSize="9" orientation="portrait" horizontalDpi="4294967293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AMORDEGRK</vt:lpstr>
      <vt:lpstr>AMORLINEARK</vt:lpstr>
      <vt:lpstr>DIA</vt:lpstr>
      <vt:lpstr>GDA</vt:lpstr>
      <vt:lpstr>GDA2</vt:lpstr>
      <vt:lpstr>LIA</vt:lpstr>
      <vt:lpstr>VDB</vt:lpstr>
    </vt:vector>
  </TitlesOfParts>
  <Company>Entwicklung, Beratung und Training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Abschreibungsrechnung</dc:title>
  <dc:subject>XL Maxibuch</dc:subject>
  <dc:creator>Dr. Eckehard Pfeifer</dc:creator>
  <cp:lastModifiedBy>Dr. Eckehard Pfeifer</cp:lastModifiedBy>
  <dcterms:created xsi:type="dcterms:W3CDTF">2010-08-13T12:00:00Z</dcterms:created>
  <dcterms:modified xsi:type="dcterms:W3CDTF">2013-01-30T16:29:16Z</dcterms:modified>
</cp:coreProperties>
</file>