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okumente\Beratung\ms press\XL Maxibuch 2013\Kap_14\Buch\Kap14\"/>
    </mc:Choice>
  </mc:AlternateContent>
  <bookViews>
    <workbookView xWindow="0" yWindow="0" windowWidth="25200" windowHeight="10965"/>
  </bookViews>
  <sheets>
    <sheet name="AUFGELZINS " sheetId="1" r:id="rId1"/>
    <sheet name="AUFGELZINSF" sheetId="2" r:id="rId2"/>
    <sheet name="ISPMT" sheetId="3" r:id="rId3"/>
    <sheet name="RENDITEFÄLL" sheetId="4" r:id="rId4"/>
    <sheet name="Wechselrechnung" sheetId="5" r:id="rId5"/>
    <sheet name="TBILL" sheetId="7" r:id="rId6"/>
    <sheet name="UNREGLE.KURS" sheetId="8" r:id="rId7"/>
    <sheet name="UNREGLE.REND" sheetId="9" r:id="rId8"/>
  </sheets>
  <externalReferences>
    <externalReference r:id="rId9"/>
  </externalReferences>
  <definedNames>
    <definedName name="BWEV" localSheetId="7">UNREGLE.REND!BWEV</definedName>
    <definedName name="ZINSEV" localSheetId="1">[1]!ZINSEV</definedName>
    <definedName name="ZINSEV" localSheetId="7">UNREGLE.REND!ZINSEV</definedName>
    <definedName name="ZWEV" localSheetId="1">[1]!ZWEV</definedName>
    <definedName name="ZWEV" localSheetId="7">UNREGLE.REND!ZWEV</definedName>
    <definedName name="ZZREV" localSheetId="7">UNREGLE.REND!ZZREV</definedName>
  </definedNames>
  <calcPr calcId="152511" iterate="1" iterateDelta="9.9999999999999995E-7"/>
</workbook>
</file>

<file path=xl/calcChain.xml><?xml version="1.0" encoding="utf-8"?>
<calcChain xmlns="http://schemas.openxmlformats.org/spreadsheetml/2006/main">
  <c r="C10" i="1" l="1"/>
  <c r="C10" i="4" l="1"/>
  <c r="C13" i="4" l="1"/>
  <c r="C12" i="4"/>
  <c r="C27" i="5" l="1"/>
  <c r="C26" i="5"/>
  <c r="C19" i="5"/>
  <c r="C18" i="5"/>
  <c r="C11" i="5"/>
  <c r="C10" i="5"/>
  <c r="C22" i="9" l="1"/>
  <c r="C15" i="9"/>
  <c r="C17" i="9" s="1"/>
  <c r="C14" i="9"/>
  <c r="C16" i="9" s="1"/>
  <c r="C13" i="9"/>
  <c r="C20" i="8"/>
  <c r="C15" i="8"/>
  <c r="C17" i="8" s="1"/>
  <c r="C14" i="8"/>
  <c r="C16" i="8" s="1"/>
  <c r="C13" i="8"/>
  <c r="C14" i="7"/>
  <c r="C12" i="7"/>
  <c r="C11" i="7"/>
  <c r="C9" i="7"/>
  <c r="C17" i="7" s="1"/>
  <c r="C7" i="7"/>
  <c r="E14" i="7" s="1"/>
  <c r="C32" i="5"/>
  <c r="C31" i="5"/>
  <c r="C23" i="5"/>
  <c r="C15" i="5"/>
  <c r="C7" i="5"/>
  <c r="C10" i="3"/>
  <c r="C9" i="3"/>
  <c r="C13" i="3" s="1"/>
  <c r="C3" i="3"/>
  <c r="C7" i="3" s="1"/>
  <c r="C36" i="2"/>
  <c r="C35" i="2"/>
  <c r="C32" i="2"/>
  <c r="C30" i="2"/>
  <c r="C31" i="2" s="1"/>
  <c r="C18" i="2"/>
  <c r="C13" i="2"/>
  <c r="C10" i="2"/>
  <c r="C8" i="2"/>
  <c r="C18" i="1"/>
  <c r="C13" i="1"/>
  <c r="C8" i="1"/>
  <c r="C19" i="9" l="1"/>
  <c r="C20" i="9" s="1"/>
  <c r="C14" i="2"/>
  <c r="C15" i="2" s="1"/>
  <c r="C16" i="2" s="1"/>
  <c r="C19" i="1"/>
  <c r="C19" i="8"/>
  <c r="C9" i="2"/>
  <c r="C14" i="1"/>
  <c r="C15" i="1" s="1"/>
  <c r="C16" i="1" s="1"/>
  <c r="C19" i="2"/>
  <c r="C9" i="1"/>
  <c r="C16" i="7"/>
  <c r="E13" i="7"/>
  <c r="C13" i="7"/>
</calcChain>
</file>

<file path=xl/sharedStrings.xml><?xml version="1.0" encoding="utf-8"?>
<sst xmlns="http://schemas.openxmlformats.org/spreadsheetml/2006/main" count="141" uniqueCount="74">
  <si>
    <t>Emissionstag</t>
  </si>
  <si>
    <t>Kaufdatum</t>
  </si>
  <si>
    <t>Fälligkeitsdatum</t>
  </si>
  <si>
    <t>Nennwert</t>
  </si>
  <si>
    <t>Nominalzinssatz</t>
  </si>
  <si>
    <t>Vergangene Zinstage</t>
  </si>
  <si>
    <t>Stückzinsen</t>
  </si>
  <si>
    <t xml:space="preserve">AUFGELZINS </t>
  </si>
  <si>
    <t>Realzinssatz</t>
  </si>
  <si>
    <t>Verbleibende Zinsstage</t>
  </si>
  <si>
    <t>Zukunftswert</t>
  </si>
  <si>
    <t>Barwert</t>
  </si>
  <si>
    <t>minus Stückzinsen</t>
  </si>
  <si>
    <t>KURSFÄLLIG</t>
  </si>
  <si>
    <t>Preis</t>
  </si>
  <si>
    <t>AUFGELZINSF</t>
  </si>
  <si>
    <t>Bundesanleihe</t>
  </si>
  <si>
    <t>"Emissionstag"</t>
  </si>
  <si>
    <t>Kurs</t>
  </si>
  <si>
    <t>RENDITEFÄLL</t>
  </si>
  <si>
    <t>RENDITE</t>
  </si>
  <si>
    <t>Zinssatz</t>
  </si>
  <si>
    <t>Per</t>
  </si>
  <si>
    <t>Nper</t>
  </si>
  <si>
    <t>ISPMT</t>
  </si>
  <si>
    <t xml:space="preserve"> p.a.</t>
  </si>
  <si>
    <t xml:space="preserve"> GE</t>
  </si>
  <si>
    <t xml:space="preserve"> (das ist nicht ISMA)</t>
  </si>
  <si>
    <t>Tag der Einreichung</t>
  </si>
  <si>
    <t>Tag der Fälligkeit</t>
  </si>
  <si>
    <t>Diskontsatz</t>
  </si>
  <si>
    <t>Gutschrift</t>
  </si>
  <si>
    <t>AUSZAHLUNG</t>
  </si>
  <si>
    <t xml:space="preserve"> (Wechselsumme)</t>
  </si>
  <si>
    <t>Wechselsumme</t>
  </si>
  <si>
    <t>DISAGIO</t>
  </si>
  <si>
    <t xml:space="preserve"> (Diskontsatz)</t>
  </si>
  <si>
    <t>KURSDISAGIO</t>
  </si>
  <si>
    <t xml:space="preserve"> (Gutschrift)</t>
  </si>
  <si>
    <t>Auszahlung</t>
  </si>
  <si>
    <t>RENDITEDIS</t>
  </si>
  <si>
    <t xml:space="preserve"> (Effektivverzinsung)</t>
  </si>
  <si>
    <t>ZINSSATZ</t>
  </si>
  <si>
    <t>Tag der Abrechnung</t>
  </si>
  <si>
    <t>Tage</t>
  </si>
  <si>
    <t xml:space="preserve"> (taggenau)</t>
  </si>
  <si>
    <t>Basis der Tagezählung</t>
  </si>
  <si>
    <t>DISAGIO (Diskontsatz)</t>
  </si>
  <si>
    <t>per Hand</t>
  </si>
  <si>
    <t>TBILLÄQUIV</t>
  </si>
  <si>
    <t>TBILLRENDITE</t>
  </si>
  <si>
    <t>TBILLKURS</t>
  </si>
  <si>
    <t>einmalige Zinsszahlung</t>
  </si>
  <si>
    <t>Abrechnung</t>
  </si>
  <si>
    <t xml:space="preserve">Fälligkeit </t>
  </si>
  <si>
    <t>Letzter Zinstermin</t>
  </si>
  <si>
    <t>Rendite</t>
  </si>
  <si>
    <t>Häufigkeit</t>
  </si>
  <si>
    <t>Basis</t>
  </si>
  <si>
    <t>Tage bis Fälligkeit</t>
  </si>
  <si>
    <t>Tage seit Zinstermin</t>
  </si>
  <si>
    <t>Tage von Zinstermin bis Fälligkeit</t>
  </si>
  <si>
    <t>Zinsen am Ende</t>
  </si>
  <si>
    <t>UNREGLE.KURS</t>
  </si>
  <si>
    <t>Rendite (gedachte)</t>
  </si>
  <si>
    <t>Kurs (aus gedachter Rendite)</t>
  </si>
  <si>
    <t>Differenz</t>
  </si>
  <si>
    <t>UNREGLE.REND</t>
  </si>
  <si>
    <t>Tagezählweise</t>
  </si>
  <si>
    <t>Satz</t>
  </si>
  <si>
    <t>Emission</t>
  </si>
  <si>
    <t>Nominalzins</t>
  </si>
  <si>
    <t>Zielzelle</t>
  </si>
  <si>
    <t>veränderbare Zelle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</si>
</sst>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€&quot;_-;\-* #,##0.00\ &quot;€&quot;_-;_-* &quot;-&quot;??\ &quot;€&quot;_-;_-@_-"/>
    <numFmt numFmtId="164" formatCode="#,##0.00_ ;[Red]\-#,##0.00\ "/>
    <numFmt numFmtId="165" formatCode="#,##0.00_ ;\-#,##0.00\ "/>
    <numFmt numFmtId="166" formatCode="#,##0.000_ ;[Red]\-#,##0.000\ "/>
    <numFmt numFmtId="167" formatCode="0.00000%"/>
    <numFmt numFmtId="168" formatCode="0.000"/>
    <numFmt numFmtId="169" formatCode="0.000000%"/>
    <numFmt numFmtId="170" formatCode="0.0000000000%"/>
    <numFmt numFmtId="171" formatCode="0.0000000"/>
    <numFmt numFmtId="172" formatCode="0.0000%"/>
    <numFmt numFmtId="173" formatCode="0.00000"/>
  </numFmts>
  <fonts count="4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3" xfId="0" applyFont="1" applyBorder="1"/>
    <xf numFmtId="0" fontId="2" fillId="0" borderId="2" xfId="0" applyFont="1" applyBorder="1"/>
    <xf numFmtId="44" fontId="2" fillId="0" borderId="4" xfId="4" applyFont="1" applyBorder="1"/>
    <xf numFmtId="0" fontId="2" fillId="0" borderId="4" xfId="0" applyFont="1" applyBorder="1"/>
    <xf numFmtId="2" fontId="2" fillId="0" borderId="2" xfId="3" applyNumberFormat="1" applyFont="1" applyBorder="1"/>
    <xf numFmtId="0" fontId="3" fillId="0" borderId="0" xfId="0" applyFont="1"/>
    <xf numFmtId="2" fontId="2" fillId="0" borderId="4" xfId="0" applyNumberFormat="1" applyFont="1" applyBorder="1"/>
    <xf numFmtId="0" fontId="3" fillId="0" borderId="3" xfId="0" applyFont="1" applyBorder="1"/>
    <xf numFmtId="173" fontId="2" fillId="0" borderId="4" xfId="0" applyNumberFormat="1" applyFont="1" applyBorder="1"/>
    <xf numFmtId="0" fontId="3" fillId="0" borderId="1" xfId="0" applyFont="1" applyBorder="1"/>
    <xf numFmtId="172" fontId="3" fillId="0" borderId="2" xfId="3" applyNumberFormat="1" applyFont="1" applyBorder="1"/>
    <xf numFmtId="171" fontId="3" fillId="0" borderId="2" xfId="0" applyNumberFormat="1" applyFont="1" applyBorder="1"/>
    <xf numFmtId="0" fontId="3" fillId="0" borderId="4" xfId="0" applyFont="1" applyBorder="1"/>
    <xf numFmtId="170" fontId="2" fillId="0" borderId="4" xfId="3" applyNumberFormat="1" applyFont="1" applyBorder="1"/>
    <xf numFmtId="170" fontId="2" fillId="0" borderId="2" xfId="3" applyNumberFormat="1" applyFont="1" applyBorder="1"/>
    <xf numFmtId="170" fontId="2" fillId="0" borderId="1" xfId="3" applyNumberFormat="1" applyFont="1" applyBorder="1"/>
    <xf numFmtId="170" fontId="2" fillId="0" borderId="3" xfId="3" applyNumberFormat="1" applyFont="1" applyBorder="1"/>
    <xf numFmtId="168" fontId="2" fillId="0" borderId="2" xfId="0" applyNumberFormat="1" applyFont="1" applyBorder="1"/>
    <xf numFmtId="168" fontId="2" fillId="0" borderId="4" xfId="0" applyNumberFormat="1" applyFont="1" applyBorder="1"/>
    <xf numFmtId="10" fontId="2" fillId="0" borderId="2" xfId="3" applyFont="1" applyBorder="1"/>
    <xf numFmtId="44" fontId="2" fillId="0" borderId="2" xfId="4" applyFont="1" applyBorder="1"/>
    <xf numFmtId="10" fontId="2" fillId="0" borderId="4" xfId="3" applyFont="1" applyBorder="1"/>
    <xf numFmtId="10" fontId="2" fillId="0" borderId="0" xfId="3" applyFont="1"/>
    <xf numFmtId="0" fontId="2" fillId="0" borderId="6" xfId="0" applyFont="1" applyBorder="1"/>
    <xf numFmtId="166" fontId="2" fillId="0" borderId="0" xfId="0" applyNumberFormat="1" applyFont="1"/>
    <xf numFmtId="164" fontId="2" fillId="0" borderId="5" xfId="2" applyFont="1" applyBorder="1"/>
    <xf numFmtId="167" fontId="2" fillId="0" borderId="0" xfId="0" applyNumberFormat="1" applyFont="1"/>
    <xf numFmtId="168" fontId="2" fillId="0" borderId="0" xfId="0" applyNumberFormat="1" applyFont="1"/>
    <xf numFmtId="169" fontId="2" fillId="0" borderId="0" xfId="3" applyNumberFormat="1" applyFont="1"/>
    <xf numFmtId="2" fontId="2" fillId="0" borderId="0" xfId="0" applyNumberFormat="1" applyFont="1"/>
    <xf numFmtId="165" fontId="2" fillId="0" borderId="2" xfId="4" applyNumberFormat="1" applyFont="1" applyBorder="1"/>
    <xf numFmtId="14" fontId="2" fillId="2" borderId="2" xfId="0" applyNumberFormat="1" applyFont="1" applyFill="1" applyBorder="1"/>
    <xf numFmtId="14" fontId="2" fillId="3" borderId="2" xfId="0" applyNumberFormat="1" applyFont="1" applyFill="1" applyBorder="1"/>
    <xf numFmtId="14" fontId="2" fillId="3" borderId="4" xfId="0" applyNumberFormat="1" applyFont="1" applyFill="1" applyBorder="1"/>
    <xf numFmtId="44" fontId="2" fillId="3" borderId="4" xfId="4" applyFont="1" applyFill="1" applyBorder="1"/>
    <xf numFmtId="10" fontId="2" fillId="3" borderId="4" xfId="3" applyFont="1" applyFill="1" applyBorder="1"/>
    <xf numFmtId="10" fontId="2" fillId="3" borderId="2" xfId="3" applyFont="1" applyFill="1" applyBorder="1"/>
    <xf numFmtId="44" fontId="2" fillId="4" borderId="4" xfId="4" applyFont="1" applyFill="1" applyBorder="1"/>
    <xf numFmtId="44" fontId="2" fillId="4" borderId="4" xfId="0" applyNumberFormat="1" applyFont="1" applyFill="1" applyBorder="1"/>
    <xf numFmtId="0" fontId="2" fillId="5" borderId="3" xfId="0" applyFont="1" applyFill="1" applyBorder="1"/>
    <xf numFmtId="44" fontId="2" fillId="5" borderId="4" xfId="0" applyNumberFormat="1" applyFont="1" applyFill="1" applyBorder="1"/>
    <xf numFmtId="10" fontId="2" fillId="5" borderId="4" xfId="0" applyNumberFormat="1" applyFont="1" applyFill="1" applyBorder="1"/>
    <xf numFmtId="14" fontId="2" fillId="5" borderId="4" xfId="0" applyNumberFormat="1" applyFont="1" applyFill="1" applyBorder="1"/>
    <xf numFmtId="10" fontId="2" fillId="3" borderId="2" xfId="0" applyNumberFormat="1" applyFont="1" applyFill="1" applyBorder="1"/>
    <xf numFmtId="0" fontId="2" fillId="3" borderId="4" xfId="0" applyFont="1" applyFill="1" applyBorder="1"/>
    <xf numFmtId="14" fontId="2" fillId="6" borderId="5" xfId="0" applyNumberFormat="1" applyFont="1" applyFill="1" applyBorder="1"/>
    <xf numFmtId="14" fontId="2" fillId="3" borderId="7" xfId="0" applyNumberFormat="1" applyFont="1" applyFill="1" applyBorder="1"/>
    <xf numFmtId="166" fontId="2" fillId="3" borderId="4" xfId="2" applyNumberFormat="1" applyFont="1" applyFill="1" applyBorder="1"/>
    <xf numFmtId="9" fontId="2" fillId="3" borderId="4" xfId="0" applyNumberFormat="1" applyFont="1" applyFill="1" applyBorder="1"/>
    <xf numFmtId="9" fontId="2" fillId="3" borderId="4" xfId="4" applyNumberFormat="1" applyFont="1" applyFill="1" applyBorder="1"/>
    <xf numFmtId="10" fontId="2" fillId="3" borderId="4" xfId="0" applyNumberFormat="1" applyFont="1" applyFill="1" applyBorder="1"/>
    <xf numFmtId="2" fontId="2" fillId="3" borderId="4" xfId="1" applyFont="1" applyFill="1" applyBorder="1"/>
    <xf numFmtId="0" fontId="2" fillId="4" borderId="4" xfId="3" applyNumberFormat="1" applyFont="1" applyFill="1" applyBorder="1"/>
    <xf numFmtId="168" fontId="2" fillId="3" borderId="4" xfId="0" applyNumberFormat="1" applyFont="1" applyFill="1" applyBorder="1"/>
    <xf numFmtId="172" fontId="2" fillId="4" borderId="4" xfId="0" applyNumberFormat="1" applyFont="1" applyFill="1" applyBorder="1"/>
    <xf numFmtId="171" fontId="3" fillId="4" borderId="4" xfId="0" applyNumberFormat="1" applyFont="1" applyFill="1" applyBorder="1"/>
    <xf numFmtId="14" fontId="2" fillId="7" borderId="2" xfId="0" applyNumberFormat="1" applyFont="1" applyFill="1" applyBorder="1"/>
  </cellXfs>
  <cellStyles count="5">
    <cellStyle name="Dezimal_Kursrechnung" xfId="2"/>
    <cellStyle name="Komma" xfId="1" builtinId="3"/>
    <cellStyle name="Prozent" xfId="3" builtinId="5"/>
    <cellStyle name="Standard" xfId="0" builtinId="0"/>
    <cellStyle name="Währung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dfkt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Funktionen"/>
      <sheetName val="bdfkt"/>
    </sheetNames>
    <definedNames>
      <definedName name="ZINSEV"/>
      <definedName name="ZWEV"/>
    </defined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2:C19"/>
  <sheetViews>
    <sheetView showGridLines="0" tabSelected="1" workbookViewId="0"/>
  </sheetViews>
  <sheetFormatPr baseColWidth="10" defaultRowHeight="15" x14ac:dyDescent="0.25"/>
  <cols>
    <col min="1" max="1" width="3.7109375" style="2" customWidth="1"/>
    <col min="2" max="2" width="22.42578125" style="2" customWidth="1"/>
    <col min="3" max="16384" width="11.42578125" style="2"/>
  </cols>
  <sheetData>
    <row r="2" spans="2:3" x14ac:dyDescent="0.25">
      <c r="B2" s="1" t="s">
        <v>70</v>
      </c>
      <c r="C2" s="35">
        <v>41426</v>
      </c>
    </row>
    <row r="3" spans="2:3" x14ac:dyDescent="0.25">
      <c r="B3" s="3" t="s">
        <v>1</v>
      </c>
      <c r="C3" s="36">
        <v>41495</v>
      </c>
    </row>
    <row r="4" spans="2:3" x14ac:dyDescent="0.25">
      <c r="B4" s="3" t="s">
        <v>53</v>
      </c>
      <c r="C4" s="36">
        <v>41609</v>
      </c>
    </row>
    <row r="5" spans="2:3" x14ac:dyDescent="0.25">
      <c r="B5" s="3" t="s">
        <v>3</v>
      </c>
      <c r="C5" s="37">
        <v>1000</v>
      </c>
    </row>
    <row r="6" spans="2:3" x14ac:dyDescent="0.25">
      <c r="B6" s="3" t="s">
        <v>69</v>
      </c>
      <c r="C6" s="38">
        <v>0.04</v>
      </c>
    </row>
    <row r="8" spans="2:3" x14ac:dyDescent="0.25">
      <c r="B8" s="1" t="s">
        <v>5</v>
      </c>
      <c r="C8" s="4">
        <f>COUPDAYBS(C3,C4,2,4)</f>
        <v>68</v>
      </c>
    </row>
    <row r="9" spans="2:3" x14ac:dyDescent="0.25">
      <c r="B9" s="3" t="s">
        <v>6</v>
      </c>
      <c r="C9" s="5">
        <f>C5*(C6*C8/360)</f>
        <v>7.5555555555555562</v>
      </c>
    </row>
    <row r="10" spans="2:3" x14ac:dyDescent="0.25">
      <c r="B10" s="3" t="s">
        <v>7</v>
      </c>
      <c r="C10" s="5">
        <f>ACCRINT(C2,C4,C3,C6,C5,1,4)</f>
        <v>7.5555555555555554</v>
      </c>
    </row>
    <row r="12" spans="2:3" x14ac:dyDescent="0.25">
      <c r="B12" s="1" t="s">
        <v>8</v>
      </c>
      <c r="C12" s="39">
        <v>4.4999999999999998E-2</v>
      </c>
    </row>
    <row r="13" spans="2:3" x14ac:dyDescent="0.25">
      <c r="B13" s="3" t="s">
        <v>9</v>
      </c>
      <c r="C13" s="6">
        <f>COUPDAYSNC(C3,C4,1,4)</f>
        <v>112</v>
      </c>
    </row>
    <row r="14" spans="2:3" x14ac:dyDescent="0.25">
      <c r="B14" s="3" t="s">
        <v>10</v>
      </c>
      <c r="C14" s="5">
        <f>C5*(1+C6*(C8+C13)/360)</f>
        <v>1020</v>
      </c>
    </row>
    <row r="15" spans="2:3" x14ac:dyDescent="0.25">
      <c r="B15" s="3" t="s">
        <v>11</v>
      </c>
      <c r="C15" s="40">
        <f>C14/(1+C13/360*C12)</f>
        <v>1005.9171597633136</v>
      </c>
    </row>
    <row r="16" spans="2:3" x14ac:dyDescent="0.25">
      <c r="B16" s="42" t="s">
        <v>12</v>
      </c>
      <c r="C16" s="43">
        <f>C15-C10</f>
        <v>998.36160420775809</v>
      </c>
    </row>
    <row r="18" spans="2:3" x14ac:dyDescent="0.25">
      <c r="B18" s="1" t="s">
        <v>13</v>
      </c>
      <c r="C18" s="7">
        <f>PRICEMAT(C3,C4,C2,C6,C12,4)</f>
        <v>99.836160420775798</v>
      </c>
    </row>
    <row r="19" spans="2:3" x14ac:dyDescent="0.25">
      <c r="B19" s="3" t="s">
        <v>14</v>
      </c>
      <c r="C19" s="41">
        <f>C18*C5/100+C10</f>
        <v>1005.9171597633134</v>
      </c>
    </row>
  </sheetData>
  <phoneticPr fontId="0" type="noConversion"/>
  <pageMargins left="0.79" right="0.79" top="0.98" bottom="0.98" header="0.49" footer="0.49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B2:C36"/>
  <sheetViews>
    <sheetView showGridLines="0" workbookViewId="0"/>
  </sheetViews>
  <sheetFormatPr baseColWidth="10" defaultRowHeight="15" x14ac:dyDescent="0.25"/>
  <cols>
    <col min="1" max="1" width="3.7109375" style="2" customWidth="1"/>
    <col min="2" max="2" width="22.42578125" style="2" customWidth="1"/>
    <col min="3" max="3" width="13.140625" style="2" customWidth="1"/>
    <col min="4" max="6" width="11.42578125" style="2"/>
    <col min="7" max="7" width="19.85546875" style="2" customWidth="1"/>
    <col min="8" max="16384" width="11.42578125" style="2"/>
  </cols>
  <sheetData>
    <row r="2" spans="2:3" x14ac:dyDescent="0.25">
      <c r="B2" s="1" t="s">
        <v>70</v>
      </c>
      <c r="C2" s="35">
        <v>41426</v>
      </c>
    </row>
    <row r="3" spans="2:3" x14ac:dyDescent="0.25">
      <c r="B3" s="3" t="s">
        <v>53</v>
      </c>
      <c r="C3" s="36">
        <v>41495</v>
      </c>
    </row>
    <row r="4" spans="2:3" x14ac:dyDescent="0.25">
      <c r="B4" s="3" t="s">
        <v>2</v>
      </c>
      <c r="C4" s="36">
        <v>41609</v>
      </c>
    </row>
    <row r="5" spans="2:3" x14ac:dyDescent="0.25">
      <c r="B5" s="3" t="s">
        <v>3</v>
      </c>
      <c r="C5" s="37">
        <v>1000</v>
      </c>
    </row>
    <row r="6" spans="2:3" x14ac:dyDescent="0.25">
      <c r="B6" s="3" t="s">
        <v>71</v>
      </c>
      <c r="C6" s="38">
        <v>0.04</v>
      </c>
    </row>
    <row r="8" spans="2:3" x14ac:dyDescent="0.25">
      <c r="B8" s="1" t="s">
        <v>5</v>
      </c>
      <c r="C8" s="4">
        <f>COUPDAYBS(C3,C4,2,4)</f>
        <v>68</v>
      </c>
    </row>
    <row r="9" spans="2:3" x14ac:dyDescent="0.25">
      <c r="B9" s="3" t="s">
        <v>6</v>
      </c>
      <c r="C9" s="5">
        <f>C5*(C6*C8/360)</f>
        <v>7.5555555555555562</v>
      </c>
    </row>
    <row r="10" spans="2:3" x14ac:dyDescent="0.25">
      <c r="B10" s="3" t="s">
        <v>15</v>
      </c>
      <c r="C10" s="5">
        <f>ACCRINTM(C2,C3,C6,C5,4)</f>
        <v>7.5555555555555554</v>
      </c>
    </row>
    <row r="12" spans="2:3" x14ac:dyDescent="0.25">
      <c r="B12" s="1" t="s">
        <v>8</v>
      </c>
      <c r="C12" s="39">
        <v>4.4999999999999998E-2</v>
      </c>
    </row>
    <row r="13" spans="2:3" x14ac:dyDescent="0.25">
      <c r="B13" s="3" t="s">
        <v>9</v>
      </c>
      <c r="C13" s="6">
        <f>COUPDAYSNC(C3,C4,1,4)</f>
        <v>112</v>
      </c>
    </row>
    <row r="14" spans="2:3" x14ac:dyDescent="0.25">
      <c r="B14" s="3" t="s">
        <v>10</v>
      </c>
      <c r="C14" s="5">
        <f>C5*(1+C6*(C8+C13)/360)</f>
        <v>1020</v>
      </c>
    </row>
    <row r="15" spans="2:3" x14ac:dyDescent="0.25">
      <c r="B15" s="3" t="s">
        <v>11</v>
      </c>
      <c r="C15" s="40">
        <f>C14/(1+C13/360*C12)</f>
        <v>1005.9171597633136</v>
      </c>
    </row>
    <row r="16" spans="2:3" x14ac:dyDescent="0.25">
      <c r="B16" s="42" t="s">
        <v>12</v>
      </c>
      <c r="C16" s="43">
        <f>C15-C10</f>
        <v>998.36160420775809</v>
      </c>
    </row>
    <row r="18" spans="2:3" x14ac:dyDescent="0.25">
      <c r="B18" s="1" t="s">
        <v>13</v>
      </c>
      <c r="C18" s="33">
        <f>PRICEMAT(C3,C4,C2,C6,C12,4)</f>
        <v>99.836160420775798</v>
      </c>
    </row>
    <row r="19" spans="2:3" x14ac:dyDescent="0.25">
      <c r="B19" s="3" t="s">
        <v>14</v>
      </c>
      <c r="C19" s="41">
        <f>C18*C5/100+C10</f>
        <v>1005.9171597633134</v>
      </c>
    </row>
    <row r="22" spans="2:3" x14ac:dyDescent="0.25">
      <c r="B22" s="8" t="s">
        <v>16</v>
      </c>
    </row>
    <row r="24" spans="2:3" x14ac:dyDescent="0.25">
      <c r="B24" s="1" t="s">
        <v>17</v>
      </c>
      <c r="C24" s="34">
        <v>40182</v>
      </c>
    </row>
    <row r="25" spans="2:3" x14ac:dyDescent="0.25">
      <c r="B25" s="3" t="s">
        <v>1</v>
      </c>
      <c r="C25" s="36">
        <v>40420</v>
      </c>
    </row>
    <row r="26" spans="2:3" x14ac:dyDescent="0.25">
      <c r="B26" s="3" t="s">
        <v>2</v>
      </c>
      <c r="C26" s="45">
        <v>47852</v>
      </c>
    </row>
    <row r="27" spans="2:3" x14ac:dyDescent="0.25">
      <c r="B27" s="3" t="s">
        <v>3</v>
      </c>
      <c r="C27" s="37">
        <v>100</v>
      </c>
    </row>
    <row r="28" spans="2:3" x14ac:dyDescent="0.25">
      <c r="B28" s="3" t="s">
        <v>4</v>
      </c>
      <c r="C28" s="38">
        <v>5.5E-2</v>
      </c>
    </row>
    <row r="30" spans="2:3" x14ac:dyDescent="0.25">
      <c r="B30" s="1" t="s">
        <v>5</v>
      </c>
      <c r="C30" s="4">
        <f>COUPDAYBS(C25,C26,1,4)</f>
        <v>236</v>
      </c>
    </row>
    <row r="31" spans="2:3" x14ac:dyDescent="0.25">
      <c r="B31" s="3" t="s">
        <v>6</v>
      </c>
      <c r="C31" s="5">
        <f>C27*(C28*C30/360)</f>
        <v>3.6055555555555556</v>
      </c>
    </row>
    <row r="32" spans="2:3" x14ac:dyDescent="0.25">
      <c r="B32" s="3" t="s">
        <v>15</v>
      </c>
      <c r="C32" s="5">
        <f>ACCRINTM(C24,C25,C28,C27,4)</f>
        <v>3.6055555555555556</v>
      </c>
    </row>
    <row r="34" spans="2:3" x14ac:dyDescent="0.25">
      <c r="B34" s="1" t="s">
        <v>18</v>
      </c>
      <c r="C34" s="23">
        <v>143.27000000000001</v>
      </c>
    </row>
    <row r="35" spans="2:3" x14ac:dyDescent="0.25">
      <c r="B35" s="42" t="s">
        <v>19</v>
      </c>
      <c r="C35" s="44">
        <f>YIELDMAT(C25,C26,C24,C28,C34,4)</f>
        <v>2.2965900790686597E-2</v>
      </c>
    </row>
    <row r="36" spans="2:3" x14ac:dyDescent="0.25">
      <c r="B36" s="3" t="s">
        <v>20</v>
      </c>
      <c r="C36" s="24">
        <f>YIELD(C25,C26,C28,C34,100,1,2)</f>
        <v>2.7049381557930751E-2</v>
      </c>
    </row>
  </sheetData>
  <phoneticPr fontId="0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3"/>
  <sheetViews>
    <sheetView showGridLines="0" workbookViewId="0"/>
  </sheetViews>
  <sheetFormatPr baseColWidth="10" defaultRowHeight="15" x14ac:dyDescent="0.25"/>
  <cols>
    <col min="1" max="1" width="2.7109375" style="2" customWidth="1"/>
    <col min="2" max="2" width="11.42578125" style="2"/>
    <col min="3" max="3" width="12.28515625" style="2" customWidth="1"/>
    <col min="4" max="16384" width="11.42578125" style="2"/>
  </cols>
  <sheetData>
    <row r="3" spans="2:5" x14ac:dyDescent="0.25">
      <c r="B3" s="1" t="s">
        <v>21</v>
      </c>
      <c r="C3" s="46">
        <f>6%</f>
        <v>0.06</v>
      </c>
      <c r="E3" s="32"/>
    </row>
    <row r="4" spans="2:5" x14ac:dyDescent="0.25">
      <c r="B4" s="3" t="s">
        <v>22</v>
      </c>
      <c r="C4" s="47">
        <v>4</v>
      </c>
    </row>
    <row r="5" spans="2:5" x14ac:dyDescent="0.25">
      <c r="B5" s="3" t="s">
        <v>23</v>
      </c>
      <c r="C5" s="47">
        <v>12</v>
      </c>
    </row>
    <row r="6" spans="2:5" x14ac:dyDescent="0.25">
      <c r="B6" s="3" t="s">
        <v>11</v>
      </c>
      <c r="C6" s="37">
        <v>-100</v>
      </c>
    </row>
    <row r="7" spans="2:5" x14ac:dyDescent="0.25">
      <c r="B7" s="3" t="s">
        <v>24</v>
      </c>
      <c r="C7" s="5">
        <f>ISPMT(C3,C4,C5,C6)</f>
        <v>4</v>
      </c>
    </row>
    <row r="9" spans="2:5" x14ac:dyDescent="0.25">
      <c r="B9" s="1" t="s">
        <v>21</v>
      </c>
      <c r="C9" s="46">
        <f>6%</f>
        <v>0.06</v>
      </c>
    </row>
    <row r="10" spans="2:5" x14ac:dyDescent="0.25">
      <c r="B10" s="3" t="s">
        <v>22</v>
      </c>
      <c r="C10" s="47">
        <f>360-225</f>
        <v>135</v>
      </c>
    </row>
    <row r="11" spans="2:5" x14ac:dyDescent="0.25">
      <c r="B11" s="3" t="s">
        <v>23</v>
      </c>
      <c r="C11" s="47">
        <v>360</v>
      </c>
    </row>
    <row r="12" spans="2:5" x14ac:dyDescent="0.25">
      <c r="B12" s="3" t="s">
        <v>11</v>
      </c>
      <c r="C12" s="37">
        <v>-100</v>
      </c>
    </row>
    <row r="13" spans="2:5" x14ac:dyDescent="0.25">
      <c r="B13" s="3" t="s">
        <v>24</v>
      </c>
      <c r="C13" s="5">
        <f>ISPMT(C9,C10,C11,C12)</f>
        <v>3.75</v>
      </c>
    </row>
  </sheetData>
  <phoneticPr fontId="0" type="noConversion"/>
  <pageMargins left="0.79" right="0.79" top="0.98" bottom="0.98" header="0.49" footer="0.4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2:I14"/>
  <sheetViews>
    <sheetView showGridLines="0" workbookViewId="0"/>
  </sheetViews>
  <sheetFormatPr baseColWidth="10" defaultRowHeight="15" x14ac:dyDescent="0.25"/>
  <cols>
    <col min="1" max="1" width="2.7109375" style="2" customWidth="1"/>
    <col min="2" max="2" width="17.140625" style="2" customWidth="1"/>
    <col min="3" max="3" width="11.42578125" style="2"/>
    <col min="4" max="4" width="7.5703125" style="2" customWidth="1"/>
    <col min="5" max="5" width="2.7109375" style="2" customWidth="1"/>
    <col min="6" max="6" width="11.42578125" style="2"/>
    <col min="7" max="7" width="11.5703125" style="2" customWidth="1"/>
    <col min="8" max="16384" width="11.42578125" style="2"/>
  </cols>
  <sheetData>
    <row r="2" spans="2:9" x14ac:dyDescent="0.25">
      <c r="B2" s="1" t="s">
        <v>0</v>
      </c>
      <c r="C2" s="48">
        <v>41278</v>
      </c>
      <c r="D2" s="26"/>
    </row>
    <row r="3" spans="2:9" x14ac:dyDescent="0.25">
      <c r="B3" s="3" t="s">
        <v>1</v>
      </c>
      <c r="C3" s="49">
        <v>41305</v>
      </c>
      <c r="D3" s="26"/>
    </row>
    <row r="4" spans="2:9" x14ac:dyDescent="0.25">
      <c r="B4" s="3" t="s">
        <v>2</v>
      </c>
      <c r="C4" s="49">
        <v>41643</v>
      </c>
      <c r="D4" s="26"/>
    </row>
    <row r="6" spans="2:9" x14ac:dyDescent="0.25">
      <c r="B6" s="1" t="s">
        <v>4</v>
      </c>
      <c r="C6" s="39">
        <v>4.2500000000000003E-2</v>
      </c>
      <c r="D6" s="4" t="s">
        <v>25</v>
      </c>
    </row>
    <row r="7" spans="2:9" x14ac:dyDescent="0.25">
      <c r="B7" s="3" t="s">
        <v>18</v>
      </c>
      <c r="C7" s="50">
        <v>103.79</v>
      </c>
      <c r="H7" s="27"/>
      <c r="I7" s="27"/>
    </row>
    <row r="8" spans="2:9" x14ac:dyDescent="0.25">
      <c r="B8" s="3" t="s">
        <v>68</v>
      </c>
      <c r="C8" s="6">
        <v>3</v>
      </c>
      <c r="H8" s="27"/>
      <c r="I8" s="27"/>
    </row>
    <row r="10" spans="2:9" x14ac:dyDescent="0.25">
      <c r="B10" s="1" t="s">
        <v>6</v>
      </c>
      <c r="C10" s="28">
        <f>ACCRINT(C2,C4,C3,C6,100,1,C8)</f>
        <v>0.31438356164383563</v>
      </c>
      <c r="D10" s="26" t="s">
        <v>26</v>
      </c>
      <c r="I10" s="29"/>
    </row>
    <row r="11" spans="2:9" x14ac:dyDescent="0.25">
      <c r="I11" s="30"/>
    </row>
    <row r="12" spans="2:9" x14ac:dyDescent="0.25">
      <c r="B12" s="1" t="s">
        <v>19</v>
      </c>
      <c r="C12" s="22">
        <f>YIELDMAT(C3,C4,C2,C6,C7,C8)</f>
        <v>1.510488947057038E-3</v>
      </c>
      <c r="D12" s="4" t="s">
        <v>25</v>
      </c>
    </row>
    <row r="13" spans="2:9" x14ac:dyDescent="0.25">
      <c r="B13" s="3" t="s">
        <v>20</v>
      </c>
      <c r="C13" s="24">
        <f>YIELD(C3,C4,C6,C7,100,1,C8)</f>
        <v>1.510488947057038E-3</v>
      </c>
      <c r="D13" s="2" t="s">
        <v>27</v>
      </c>
    </row>
    <row r="14" spans="2:9" x14ac:dyDescent="0.25">
      <c r="C14" s="31"/>
    </row>
  </sheetData>
  <phoneticPr fontId="0" type="noConversion"/>
  <pageMargins left="0.79" right="0.79" top="0.98" bottom="0.98" header="0.49" footer="0.49"/>
  <pageSetup paperSize="9" orientation="portrait" horizontalDpi="4294967295" verticalDpi="0" copies="0"/>
  <headerFooter alignWithMargins="0">
    <oddHeader>&amp;L&amp;F, &amp;A&amp;RSeite &amp;P</oddHeader>
    <oddFooter>&amp;LCopyRight Dr. Eckehard Pfeifer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4"/>
  <sheetViews>
    <sheetView showGridLines="0" workbookViewId="0"/>
  </sheetViews>
  <sheetFormatPr baseColWidth="10" defaultRowHeight="15" x14ac:dyDescent="0.25"/>
  <cols>
    <col min="1" max="1" width="2.7109375" style="2" customWidth="1"/>
    <col min="2" max="2" width="19.28515625" style="2" customWidth="1"/>
    <col min="3" max="3" width="11.85546875" style="2" customWidth="1"/>
    <col min="4" max="16384" width="11.42578125" style="2"/>
  </cols>
  <sheetData>
    <row r="2" spans="2:4" x14ac:dyDescent="0.25">
      <c r="B2" s="1" t="s">
        <v>28</v>
      </c>
      <c r="C2" s="35">
        <v>41404</v>
      </c>
    </row>
    <row r="3" spans="2:4" x14ac:dyDescent="0.25">
      <c r="B3" s="3" t="s">
        <v>29</v>
      </c>
      <c r="C3" s="36">
        <v>41465</v>
      </c>
    </row>
    <row r="4" spans="2:4" x14ac:dyDescent="0.25">
      <c r="B4" s="3" t="s">
        <v>30</v>
      </c>
      <c r="C4" s="51">
        <v>0.05</v>
      </c>
    </row>
    <row r="5" spans="2:4" x14ac:dyDescent="0.25">
      <c r="B5" s="3" t="s">
        <v>31</v>
      </c>
      <c r="C5" s="37">
        <v>4958.33</v>
      </c>
    </row>
    <row r="7" spans="2:4" x14ac:dyDescent="0.25">
      <c r="B7" s="1" t="s">
        <v>32</v>
      </c>
      <c r="C7" s="23">
        <f>RECEIVED(C2,C3,C5,C4,4)</f>
        <v>4999.9966386554615</v>
      </c>
      <c r="D7" s="2" t="s">
        <v>33</v>
      </c>
    </row>
    <row r="10" spans="2:4" x14ac:dyDescent="0.25">
      <c r="B10" s="1" t="s">
        <v>28</v>
      </c>
      <c r="C10" s="59">
        <f>C2</f>
        <v>41404</v>
      </c>
    </row>
    <row r="11" spans="2:4" x14ac:dyDescent="0.25">
      <c r="B11" s="3" t="s">
        <v>29</v>
      </c>
      <c r="C11" s="59">
        <f>C3</f>
        <v>41465</v>
      </c>
    </row>
    <row r="12" spans="2:4" x14ac:dyDescent="0.25">
      <c r="B12" s="3" t="s">
        <v>34</v>
      </c>
      <c r="C12" s="37">
        <v>5000</v>
      </c>
    </row>
    <row r="13" spans="2:4" x14ac:dyDescent="0.25">
      <c r="B13" s="3" t="s">
        <v>31</v>
      </c>
      <c r="C13" s="37">
        <v>4958.33</v>
      </c>
    </row>
    <row r="15" spans="2:4" x14ac:dyDescent="0.25">
      <c r="B15" s="1" t="s">
        <v>35</v>
      </c>
      <c r="C15" s="22">
        <f>DISC(C10,C11,C13,C12,4)</f>
        <v>5.0004000000000381E-2</v>
      </c>
      <c r="D15" s="2" t="s">
        <v>36</v>
      </c>
    </row>
    <row r="18" spans="2:4" x14ac:dyDescent="0.25">
      <c r="B18" s="1" t="s">
        <v>28</v>
      </c>
      <c r="C18" s="59">
        <f>C2</f>
        <v>41404</v>
      </c>
    </row>
    <row r="19" spans="2:4" x14ac:dyDescent="0.25">
      <c r="B19" s="3" t="s">
        <v>29</v>
      </c>
      <c r="C19" s="59">
        <f>C3</f>
        <v>41465</v>
      </c>
    </row>
    <row r="20" spans="2:4" x14ac:dyDescent="0.25">
      <c r="B20" s="3" t="s">
        <v>34</v>
      </c>
      <c r="C20" s="37">
        <v>5000</v>
      </c>
    </row>
    <row r="21" spans="2:4" x14ac:dyDescent="0.25">
      <c r="B21" s="3" t="s">
        <v>30</v>
      </c>
      <c r="C21" s="52">
        <v>0.05</v>
      </c>
    </row>
    <row r="23" spans="2:4" x14ac:dyDescent="0.25">
      <c r="B23" s="1" t="s">
        <v>37</v>
      </c>
      <c r="C23" s="23">
        <f>PRICEDISC(C18,C19,C21,C20,4)</f>
        <v>4958.333333333333</v>
      </c>
      <c r="D23" s="2" t="s">
        <v>38</v>
      </c>
    </row>
    <row r="26" spans="2:4" x14ac:dyDescent="0.25">
      <c r="B26" s="1" t="s">
        <v>28</v>
      </c>
      <c r="C26" s="59">
        <f>C2</f>
        <v>41404</v>
      </c>
    </row>
    <row r="27" spans="2:4" x14ac:dyDescent="0.25">
      <c r="B27" s="3" t="s">
        <v>29</v>
      </c>
      <c r="C27" s="59">
        <f>C3</f>
        <v>41465</v>
      </c>
    </row>
    <row r="28" spans="2:4" x14ac:dyDescent="0.25">
      <c r="B28" s="3" t="s">
        <v>34</v>
      </c>
      <c r="C28" s="37">
        <v>5000</v>
      </c>
    </row>
    <row r="29" spans="2:4" x14ac:dyDescent="0.25">
      <c r="B29" s="3" t="s">
        <v>39</v>
      </c>
      <c r="C29" s="37">
        <v>4958.33</v>
      </c>
    </row>
    <row r="31" spans="2:4" x14ac:dyDescent="0.25">
      <c r="B31" s="1" t="s">
        <v>40</v>
      </c>
      <c r="C31" s="22">
        <f>YIELDDISC(C26,C27,C29,C28,4)</f>
        <v>5.0424235579318126E-2</v>
      </c>
      <c r="D31" s="2" t="s">
        <v>41</v>
      </c>
    </row>
    <row r="32" spans="2:4" x14ac:dyDescent="0.25">
      <c r="B32" s="3" t="s">
        <v>42</v>
      </c>
      <c r="C32" s="24">
        <f>INTRATE(C26,C27,C29,C28,4)</f>
        <v>5.0424235579318126E-2</v>
      </c>
    </row>
    <row r="34" spans="3:5" x14ac:dyDescent="0.25">
      <c r="C34" s="25"/>
      <c r="E34" s="25"/>
    </row>
  </sheetData>
  <phoneticPr fontId="0" type="noConversion"/>
  <pageMargins left="0.79" right="0.79" top="0.98" bottom="0.98" header="0.49" footer="0.49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7"/>
  <sheetViews>
    <sheetView showGridLines="0" workbookViewId="0"/>
  </sheetViews>
  <sheetFormatPr baseColWidth="10" defaultRowHeight="15" x14ac:dyDescent="0.25"/>
  <cols>
    <col min="1" max="1" width="2.7109375" style="2" customWidth="1"/>
    <col min="2" max="2" width="20.28515625" style="2" customWidth="1"/>
    <col min="3" max="3" width="24.42578125" style="2" customWidth="1"/>
    <col min="4" max="4" width="11.42578125" style="2"/>
    <col min="5" max="5" width="30.85546875" style="2" customWidth="1"/>
    <col min="6" max="16384" width="11.42578125" style="2"/>
  </cols>
  <sheetData>
    <row r="3" spans="2:5" x14ac:dyDescent="0.25">
      <c r="B3" s="1" t="s">
        <v>43</v>
      </c>
      <c r="C3" s="35">
        <v>41465</v>
      </c>
    </row>
    <row r="4" spans="2:5" x14ac:dyDescent="0.25">
      <c r="B4" s="3" t="s">
        <v>29</v>
      </c>
      <c r="C4" s="36">
        <v>41527</v>
      </c>
    </row>
    <row r="5" spans="2:5" x14ac:dyDescent="0.25">
      <c r="B5" s="3" t="s">
        <v>3</v>
      </c>
      <c r="C5" s="54">
        <v>100</v>
      </c>
    </row>
    <row r="6" spans="2:5" x14ac:dyDescent="0.25">
      <c r="B6" s="3" t="s">
        <v>18</v>
      </c>
      <c r="C6" s="54">
        <v>99</v>
      </c>
    </row>
    <row r="7" spans="2:5" x14ac:dyDescent="0.25">
      <c r="B7" s="3" t="s">
        <v>44</v>
      </c>
      <c r="C7" s="6">
        <f>C4-C3</f>
        <v>62</v>
      </c>
      <c r="D7" s="2" t="s">
        <v>45</v>
      </c>
    </row>
    <row r="8" spans="2:5" x14ac:dyDescent="0.25">
      <c r="B8" s="3" t="s">
        <v>46</v>
      </c>
      <c r="C8" s="55">
        <v>2</v>
      </c>
    </row>
    <row r="9" spans="2:5" x14ac:dyDescent="0.25">
      <c r="B9" s="3" t="s">
        <v>47</v>
      </c>
      <c r="C9" s="16">
        <f>DISC(C3,C4,C6,C5,C8)</f>
        <v>5.8064516129032309E-2</v>
      </c>
    </row>
    <row r="11" spans="2:5" x14ac:dyDescent="0.25">
      <c r="B11" s="1" t="s">
        <v>40</v>
      </c>
      <c r="C11" s="17">
        <f>YIELDDISC(C3,C4,C6,C5,C8)</f>
        <v>5.865102639296188E-2</v>
      </c>
      <c r="E11" s="8" t="s">
        <v>48</v>
      </c>
    </row>
    <row r="12" spans="2:5" x14ac:dyDescent="0.25">
      <c r="B12" s="3" t="s">
        <v>42</v>
      </c>
      <c r="C12" s="16">
        <f>INTRATE(C3,C4,C6,C5,C8)</f>
        <v>5.865102639296188E-2</v>
      </c>
    </row>
    <row r="13" spans="2:5" x14ac:dyDescent="0.25">
      <c r="B13" s="3" t="s">
        <v>49</v>
      </c>
      <c r="C13" s="16">
        <f>TBILLEQ(C3,C4,C9)</f>
        <v>5.946562398175307E-2</v>
      </c>
      <c r="E13" s="18">
        <f>365*C9/(360-C9*C7)</f>
        <v>5.946562398175307E-2</v>
      </c>
    </row>
    <row r="14" spans="2:5" x14ac:dyDescent="0.25">
      <c r="B14" s="3" t="s">
        <v>50</v>
      </c>
      <c r="C14" s="16">
        <f>TBILLYIELD(C3,C4,C6)</f>
        <v>5.865102639296188E-2</v>
      </c>
      <c r="E14" s="19">
        <f>(C5-C6)/C6*360/C7</f>
        <v>5.865102639296188E-2</v>
      </c>
    </row>
    <row r="16" spans="2:5" x14ac:dyDescent="0.25">
      <c r="B16" s="1" t="s">
        <v>37</v>
      </c>
      <c r="C16" s="20">
        <f>PRICEDISC(C3,C4,C9,C5,C8)</f>
        <v>99</v>
      </c>
    </row>
    <row r="17" spans="2:3" x14ac:dyDescent="0.25">
      <c r="B17" s="3" t="s">
        <v>51</v>
      </c>
      <c r="C17" s="21">
        <f>TBILLPRICE(C3,C4,C9)</f>
        <v>99</v>
      </c>
    </row>
  </sheetData>
  <phoneticPr fontId="0" type="noConversion"/>
  <pageMargins left="0.79" right="0.79" top="0.98" bottom="0.98" header="0.49" footer="0.4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0"/>
  <sheetViews>
    <sheetView showGridLines="0" workbookViewId="0"/>
  </sheetViews>
  <sheetFormatPr baseColWidth="10" defaultRowHeight="15" x14ac:dyDescent="0.25"/>
  <cols>
    <col min="1" max="1" width="2.7109375" style="2" customWidth="1"/>
    <col min="2" max="2" width="31.42578125" style="2" customWidth="1"/>
    <col min="3" max="16384" width="11.42578125" style="2"/>
  </cols>
  <sheetData>
    <row r="2" spans="2:3" x14ac:dyDescent="0.25">
      <c r="B2" s="8" t="s">
        <v>52</v>
      </c>
    </row>
    <row r="4" spans="2:3" x14ac:dyDescent="0.25">
      <c r="B4" s="1" t="s">
        <v>53</v>
      </c>
      <c r="C4" s="35">
        <v>41499</v>
      </c>
    </row>
    <row r="5" spans="2:3" x14ac:dyDescent="0.25">
      <c r="B5" s="3" t="s">
        <v>54</v>
      </c>
      <c r="C5" s="36">
        <v>41805</v>
      </c>
    </row>
    <row r="6" spans="2:3" x14ac:dyDescent="0.25">
      <c r="B6" s="3" t="s">
        <v>55</v>
      </c>
      <c r="C6" s="36">
        <v>41456</v>
      </c>
    </row>
    <row r="7" spans="2:3" x14ac:dyDescent="0.25">
      <c r="B7" s="3" t="s">
        <v>21</v>
      </c>
      <c r="C7" s="53">
        <v>3.7499999999999999E-2</v>
      </c>
    </row>
    <row r="8" spans="2:3" x14ac:dyDescent="0.25">
      <c r="B8" s="3" t="s">
        <v>56</v>
      </c>
      <c r="C8" s="53">
        <v>4.0500000000000001E-2</v>
      </c>
    </row>
    <row r="9" spans="2:3" x14ac:dyDescent="0.25">
      <c r="B9" s="3" t="s">
        <v>3</v>
      </c>
      <c r="C9" s="47">
        <v>100</v>
      </c>
    </row>
    <row r="10" spans="2:3" x14ac:dyDescent="0.25">
      <c r="B10" s="3" t="s">
        <v>57</v>
      </c>
      <c r="C10" s="47">
        <v>1</v>
      </c>
    </row>
    <row r="11" spans="2:3" x14ac:dyDescent="0.25">
      <c r="B11" s="3" t="s">
        <v>58</v>
      </c>
      <c r="C11" s="47">
        <v>4</v>
      </c>
    </row>
    <row r="13" spans="2:3" x14ac:dyDescent="0.25">
      <c r="B13" s="1" t="s">
        <v>59</v>
      </c>
      <c r="C13" s="4">
        <f>DAYS360(C4,C5,TRUE)</f>
        <v>302</v>
      </c>
    </row>
    <row r="14" spans="2:3" x14ac:dyDescent="0.25">
      <c r="B14" s="3" t="s">
        <v>60</v>
      </c>
      <c r="C14" s="6">
        <f>DAYS360(C6,C4,TRUE)</f>
        <v>42</v>
      </c>
    </row>
    <row r="15" spans="2:3" x14ac:dyDescent="0.25">
      <c r="B15" s="3" t="s">
        <v>61</v>
      </c>
      <c r="C15" s="6">
        <f>DAYS360(C6,C5)</f>
        <v>344</v>
      </c>
    </row>
    <row r="16" spans="2:3" x14ac:dyDescent="0.25">
      <c r="B16" s="3" t="s">
        <v>6</v>
      </c>
      <c r="C16" s="9">
        <f>C14/360*C7*C9</f>
        <v>0.43749999999999994</v>
      </c>
    </row>
    <row r="17" spans="2:3" x14ac:dyDescent="0.25">
      <c r="B17" s="3" t="s">
        <v>62</v>
      </c>
      <c r="C17" s="9">
        <f>C15/360*C7*C9</f>
        <v>3.5833333333333335</v>
      </c>
    </row>
    <row r="19" spans="2:3" x14ac:dyDescent="0.25">
      <c r="B19" s="12" t="s">
        <v>18</v>
      </c>
      <c r="C19" s="14">
        <f>(C9+C17)/(1+C8*C13/360)-C16</f>
        <v>99.742227104942884</v>
      </c>
    </row>
    <row r="20" spans="2:3" x14ac:dyDescent="0.25">
      <c r="B20" s="10" t="s">
        <v>63</v>
      </c>
      <c r="C20" s="15">
        <f>ODDLPRICE(C4,C5,C6,C7,C8,C9,C10,C11)</f>
        <v>99.742227104942884</v>
      </c>
    </row>
  </sheetData>
  <phoneticPr fontId="0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2"/>
  <sheetViews>
    <sheetView showGridLines="0" workbookViewId="0"/>
  </sheetViews>
  <sheetFormatPr baseColWidth="10" defaultRowHeight="15" x14ac:dyDescent="0.25"/>
  <cols>
    <col min="1" max="1" width="2.7109375" style="2" customWidth="1"/>
    <col min="2" max="2" width="31" style="2" customWidth="1"/>
    <col min="3" max="16384" width="11.42578125" style="2"/>
  </cols>
  <sheetData>
    <row r="2" spans="2:3" x14ac:dyDescent="0.25">
      <c r="B2" s="8" t="s">
        <v>52</v>
      </c>
    </row>
    <row r="4" spans="2:3" x14ac:dyDescent="0.25">
      <c r="B4" s="1" t="s">
        <v>53</v>
      </c>
      <c r="C4" s="35">
        <v>41499</v>
      </c>
    </row>
    <row r="5" spans="2:3" x14ac:dyDescent="0.25">
      <c r="B5" s="3" t="s">
        <v>54</v>
      </c>
      <c r="C5" s="36">
        <v>41805</v>
      </c>
    </row>
    <row r="6" spans="2:3" x14ac:dyDescent="0.25">
      <c r="B6" s="3" t="s">
        <v>55</v>
      </c>
      <c r="C6" s="36">
        <v>41456</v>
      </c>
    </row>
    <row r="7" spans="2:3" x14ac:dyDescent="0.25">
      <c r="B7" s="3" t="s">
        <v>21</v>
      </c>
      <c r="C7" s="53">
        <v>3.7499999999999999E-2</v>
      </c>
    </row>
    <row r="8" spans="2:3" x14ac:dyDescent="0.25">
      <c r="B8" s="3" t="s">
        <v>18</v>
      </c>
      <c r="C8" s="56">
        <v>99.742000000000004</v>
      </c>
    </row>
    <row r="9" spans="2:3" x14ac:dyDescent="0.25">
      <c r="B9" s="3" t="s">
        <v>3</v>
      </c>
      <c r="C9" s="47">
        <v>100</v>
      </c>
    </row>
    <row r="10" spans="2:3" x14ac:dyDescent="0.25">
      <c r="B10" s="3" t="s">
        <v>57</v>
      </c>
      <c r="C10" s="47">
        <v>1</v>
      </c>
    </row>
    <row r="11" spans="2:3" x14ac:dyDescent="0.25">
      <c r="B11" s="3" t="s">
        <v>58</v>
      </c>
      <c r="C11" s="47">
        <v>4</v>
      </c>
    </row>
    <row r="13" spans="2:3" x14ac:dyDescent="0.25">
      <c r="B13" s="1" t="s">
        <v>59</v>
      </c>
      <c r="C13" s="4">
        <f>DAYS360(C4,C5,TRUE)</f>
        <v>302</v>
      </c>
    </row>
    <row r="14" spans="2:3" x14ac:dyDescent="0.25">
      <c r="B14" s="3" t="s">
        <v>60</v>
      </c>
      <c r="C14" s="6">
        <f>DAYS360(C6,C4,TRUE)</f>
        <v>42</v>
      </c>
    </row>
    <row r="15" spans="2:3" x14ac:dyDescent="0.25">
      <c r="B15" s="3" t="s">
        <v>61</v>
      </c>
      <c r="C15" s="6">
        <f>DAYS360(C6,C5)</f>
        <v>344</v>
      </c>
    </row>
    <row r="16" spans="2:3" x14ac:dyDescent="0.25">
      <c r="B16" s="3" t="s">
        <v>6</v>
      </c>
      <c r="C16" s="9">
        <f>C14/360*C7*C9</f>
        <v>0.43749999999999994</v>
      </c>
    </row>
    <row r="17" spans="2:4" x14ac:dyDescent="0.25">
      <c r="B17" s="3" t="s">
        <v>62</v>
      </c>
      <c r="C17" s="9">
        <f>C15/360*C7*C9</f>
        <v>3.5833333333333335</v>
      </c>
    </row>
    <row r="18" spans="2:4" x14ac:dyDescent="0.25">
      <c r="B18" s="3" t="s">
        <v>64</v>
      </c>
      <c r="C18" s="57">
        <v>4.0502796297049753E-2</v>
      </c>
      <c r="D18" s="2" t="s">
        <v>73</v>
      </c>
    </row>
    <row r="19" spans="2:4" x14ac:dyDescent="0.25">
      <c r="B19" s="10" t="s">
        <v>65</v>
      </c>
      <c r="C19" s="58">
        <f>(C9+C17)/(1+C18*C13/360)-C16</f>
        <v>99.741999827378095</v>
      </c>
    </row>
    <row r="20" spans="2:4" x14ac:dyDescent="0.25">
      <c r="B20" s="3" t="s">
        <v>66</v>
      </c>
      <c r="C20" s="11">
        <f>C8-C19</f>
        <v>1.7262190965539048E-7</v>
      </c>
      <c r="D20" s="2" t="s">
        <v>72</v>
      </c>
    </row>
    <row r="22" spans="2:4" x14ac:dyDescent="0.25">
      <c r="B22" s="12" t="s">
        <v>67</v>
      </c>
      <c r="C22" s="13">
        <f>ODDLYIELD(C4,C5,C6,C7,C8,C9,C10,C11)</f>
        <v>4.0502794173200712E-2</v>
      </c>
    </row>
  </sheetData>
  <phoneticPr fontId="0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AUFGELZINS </vt:lpstr>
      <vt:lpstr>AUFGELZINSF</vt:lpstr>
      <vt:lpstr>ISPMT</vt:lpstr>
      <vt:lpstr>RENDITEFÄLL</vt:lpstr>
      <vt:lpstr>Wechselrechnung</vt:lpstr>
      <vt:lpstr>TBILL</vt:lpstr>
      <vt:lpstr>UNREGLE.KURS</vt:lpstr>
      <vt:lpstr>UNREGLE.REND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Einfache Zinsrechnung</dc:title>
  <dc:subject>Excel Maxibuch</dc:subject>
  <dc:creator>Dr. Eckehard Pfeifer</dc:creator>
  <cp:lastModifiedBy>Dr. Eckehard Pfeifer</cp:lastModifiedBy>
  <dcterms:created xsi:type="dcterms:W3CDTF">2010-08-13T12:00:00Z</dcterms:created>
  <dcterms:modified xsi:type="dcterms:W3CDTF">2013-01-30T16:28:31Z</dcterms:modified>
</cp:coreProperties>
</file>