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okumente\Beratung\ms press\XL Maxibuch 2013\Kap_14\Buch\Kap14\"/>
    </mc:Choice>
  </mc:AlternateContent>
  <bookViews>
    <workbookView xWindow="0" yWindow="0" windowWidth="25200" windowHeight="11355"/>
  </bookViews>
  <sheets>
    <sheet name="DURATION" sheetId="1" r:id="rId1"/>
    <sheet name="KURS" sheetId="2" r:id="rId2"/>
    <sheet name="MDURATION" sheetId="3" r:id="rId3"/>
    <sheet name="RENDITE" sheetId="4" r:id="rId4"/>
    <sheet name="UNREGER.KURS" sheetId="5" r:id="rId5"/>
    <sheet name="UNREGER.REND" sheetId="6" r:id="rId6"/>
  </sheets>
  <calcPr calcId="152511" iterate="1" iterateDelta="9.9999999999999995E-7"/>
</workbook>
</file>

<file path=xl/calcChain.xml><?xml version="1.0" encoding="utf-8"?>
<calcChain xmlns="http://schemas.openxmlformats.org/spreadsheetml/2006/main">
  <c r="F7" i="4" l="1"/>
  <c r="F8" i="4"/>
  <c r="F9" i="4"/>
  <c r="F10" i="4"/>
  <c r="F6" i="4"/>
  <c r="H34" i="2"/>
  <c r="H35" i="2"/>
  <c r="H36" i="2"/>
  <c r="H37" i="2"/>
  <c r="H38" i="2"/>
  <c r="H39" i="2"/>
  <c r="H33" i="2"/>
  <c r="C39" i="2"/>
  <c r="C38" i="2"/>
  <c r="C37" i="2"/>
  <c r="C34" i="2"/>
  <c r="C35" i="2"/>
  <c r="C33" i="2"/>
  <c r="C28" i="6" l="1"/>
  <c r="C18" i="6"/>
  <c r="C20" i="6" s="1"/>
  <c r="C16" i="6"/>
  <c r="C21" i="6" s="1"/>
  <c r="C15" i="6"/>
  <c r="C17" i="6" s="1"/>
  <c r="C25" i="6" s="1"/>
  <c r="C14" i="6"/>
  <c r="C26" i="5"/>
  <c r="C17" i="5"/>
  <c r="C21" i="5" s="1"/>
  <c r="C15" i="5"/>
  <c r="C20" i="5" s="1"/>
  <c r="C14" i="5"/>
  <c r="C16" i="5" s="1"/>
  <c r="C13" i="5"/>
  <c r="F32" i="4"/>
  <c r="F34" i="4" s="1"/>
  <c r="C32" i="4"/>
  <c r="F28" i="4"/>
  <c r="F19" i="4"/>
  <c r="F20" i="4" s="1"/>
  <c r="C19" i="4"/>
  <c r="C20" i="4" s="1"/>
  <c r="F17" i="4"/>
  <c r="C17" i="4"/>
  <c r="F16" i="4"/>
  <c r="C16" i="4"/>
  <c r="F15" i="4"/>
  <c r="C15" i="4"/>
  <c r="F14" i="4"/>
  <c r="C14" i="4"/>
  <c r="G18" i="3"/>
  <c r="G19" i="3" s="1"/>
  <c r="C14" i="3"/>
  <c r="G10" i="3"/>
  <c r="G9" i="3"/>
  <c r="G8" i="3"/>
  <c r="G7" i="3"/>
  <c r="G6" i="3"/>
  <c r="G5" i="3"/>
  <c r="C57" i="2"/>
  <c r="H48" i="2"/>
  <c r="C48" i="2"/>
  <c r="C50" i="2" s="1"/>
  <c r="H46" i="2"/>
  <c r="C46" i="2"/>
  <c r="H45" i="2"/>
  <c r="C45" i="2"/>
  <c r="H44" i="2"/>
  <c r="C44" i="2"/>
  <c r="H43" i="2"/>
  <c r="C43" i="2"/>
  <c r="C42" i="2"/>
  <c r="H41" i="2"/>
  <c r="H57" i="2" s="1"/>
  <c r="C28" i="2"/>
  <c r="C19" i="2"/>
  <c r="C21" i="2" s="1"/>
  <c r="C17" i="2"/>
  <c r="C16" i="2"/>
  <c r="C15" i="2"/>
  <c r="C14" i="2"/>
  <c r="C13" i="2"/>
  <c r="D10" i="1"/>
  <c r="C10" i="1"/>
  <c r="C47" i="2" l="1"/>
  <c r="F21" i="4"/>
  <c r="F24" i="4" s="1"/>
  <c r="C18" i="4"/>
  <c r="C23" i="4" s="1"/>
  <c r="C21" i="4"/>
  <c r="C24" i="4" s="1"/>
  <c r="C25" i="4" s="1"/>
  <c r="H51" i="2"/>
  <c r="H47" i="2"/>
  <c r="C18" i="2"/>
  <c r="C22" i="2"/>
  <c r="C24" i="2" s="1"/>
  <c r="G20" i="3"/>
  <c r="G21" i="3" s="1"/>
  <c r="G14" i="3"/>
  <c r="G16" i="3" s="1"/>
  <c r="F18" i="4"/>
  <c r="F23" i="4" s="1"/>
  <c r="C19" i="5"/>
  <c r="C23" i="5" s="1"/>
  <c r="C25" i="5" s="1"/>
  <c r="C22" i="6"/>
  <c r="C24" i="6" s="1"/>
  <c r="C26" i="6" s="1"/>
  <c r="C51" i="2"/>
  <c r="C53" i="2" s="1"/>
  <c r="C55" i="2" s="1"/>
  <c r="H50" i="2"/>
  <c r="H53" i="2" l="1"/>
  <c r="H55" i="2" s="1"/>
  <c r="F25" i="4"/>
  <c r="C26" i="2"/>
</calcChain>
</file>

<file path=xl/sharedStrings.xml><?xml version="1.0" encoding="utf-8"?>
<sst xmlns="http://schemas.openxmlformats.org/spreadsheetml/2006/main" count="195" uniqueCount="68">
  <si>
    <t>Name</t>
  </si>
  <si>
    <t>Nominalzins</t>
  </si>
  <si>
    <t>Fälligkeit</t>
  </si>
  <si>
    <t>Häufigkeit</t>
  </si>
  <si>
    <t>Rendite</t>
  </si>
  <si>
    <t>Abrechnung</t>
  </si>
  <si>
    <t>DURATION</t>
  </si>
  <si>
    <t>Jahreskupon  (Excel=ISMA)</t>
  </si>
  <si>
    <t>Kaufdatum</t>
  </si>
  <si>
    <t>Rückzahlung</t>
  </si>
  <si>
    <t>Nennwert</t>
  </si>
  <si>
    <t>Tagezählweise</t>
  </si>
  <si>
    <t>vorhergehender Zinstermin</t>
  </si>
  <si>
    <t>nächster Zinszahlungstermin</t>
  </si>
  <si>
    <t>Jahresrest in Tagen</t>
  </si>
  <si>
    <t>Tage für Stückzinsen</t>
  </si>
  <si>
    <t>Tage im Jahr</t>
  </si>
  <si>
    <t>Stückzinsen</t>
  </si>
  <si>
    <t>Anzahl der Zinstermine</t>
  </si>
  <si>
    <t>BW der Zinsen am nächsten Zinstermin</t>
  </si>
  <si>
    <t>BW der Rückzahlung am nächsten Zinstermin</t>
  </si>
  <si>
    <t>Barwert aller Leistungen</t>
  </si>
  <si>
    <t>Kurs</t>
  </si>
  <si>
    <t xml:space="preserve"> [%]</t>
  </si>
  <si>
    <t>KURS</t>
  </si>
  <si>
    <t>Halbjahreskupon</t>
  </si>
  <si>
    <t>Excel-Kurs</t>
  </si>
  <si>
    <t>Nachbildung von ISMA</t>
  </si>
  <si>
    <t>"Nominalrendite"</t>
  </si>
  <si>
    <t>Tage in der Periode</t>
  </si>
  <si>
    <t>Jahreskupon</t>
  </si>
  <si>
    <t>Renditeänderung</t>
  </si>
  <si>
    <t>tatsächliche Kursänderung</t>
  </si>
  <si>
    <t>MDURATION</t>
  </si>
  <si>
    <t>genäherte Kursänderung</t>
  </si>
  <si>
    <t>genäherter Kursverlust</t>
  </si>
  <si>
    <t>erwarteter Kurs</t>
  </si>
  <si>
    <t>ISMA=Excel</t>
  </si>
  <si>
    <t>ISMA-Nachbildung</t>
  </si>
  <si>
    <t>Kaufkurs</t>
  </si>
  <si>
    <t>Nächster Zinszahlungstermin</t>
  </si>
  <si>
    <t>Halbjahresrest in Tagen</t>
  </si>
  <si>
    <t>Tage im Halbjahr</t>
  </si>
  <si>
    <t>Kaufpreis</t>
  </si>
  <si>
    <t>Barwert der zukünftigen Zahlungen</t>
  </si>
  <si>
    <t>Differenz</t>
  </si>
  <si>
    <t>Rendite p.a.</t>
  </si>
  <si>
    <t>Halbjahres-Rendite</t>
  </si>
  <si>
    <t>zum Vergleich: Einsatz der Funktion RENDITE():</t>
  </si>
  <si>
    <t>Verkürzt</t>
  </si>
  <si>
    <t>Emission</t>
  </si>
  <si>
    <t>1. Zinstermin</t>
  </si>
  <si>
    <t>Rest in Tagen bis 1. Zinstermin</t>
  </si>
  <si>
    <t>Tage der ersten Periode</t>
  </si>
  <si>
    <t>BW der Zinsen am 1. Zinstermin</t>
  </si>
  <si>
    <t>Zinsen am 1. Zinstermin</t>
  </si>
  <si>
    <t>BW der Rückzahlung am 1. Zinstermin</t>
  </si>
  <si>
    <t>UNREGER.KURS</t>
  </si>
  <si>
    <t>verkürzt</t>
  </si>
  <si>
    <t>Rendite (gedachte)</t>
  </si>
  <si>
    <t>veränderbare Zelle</t>
  </si>
  <si>
    <t>Kurs plus Stückzinsen</t>
  </si>
  <si>
    <t>Zielwertsuche auf 0</t>
  </si>
  <si>
    <t>UNREGER.REND</t>
  </si>
  <si>
    <r>
      <t>EFFEKTIV()</t>
    </r>
    <r>
      <rPr>
        <sz val="11"/>
        <rFont val="Calibri"/>
        <family val="2"/>
        <scheme val="minor"/>
      </rPr>
      <t xml:space="preserve"> verwenden</t>
    </r>
  </si>
  <si>
    <t>BA von 05</t>
  </si>
  <si>
    <t>BO S 159</t>
  </si>
  <si>
    <t>Bundesanleihe von 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</si>
</sst>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_ ;[Red]\-#,##0.00\ "/>
    <numFmt numFmtId="165" formatCode="#,##0.00000_ ;[Red]\-#,##0.00000\ "/>
    <numFmt numFmtId="166" formatCode="0.000"/>
    <numFmt numFmtId="167" formatCode="#,##0.000_ ;[Red]\-#,##0.000\ "/>
    <numFmt numFmtId="168" formatCode="#,##0.00\ &quot;DM&quot;;[Red]\-#,##0.00\ &quot;DM&quot;"/>
    <numFmt numFmtId="169" formatCode="0.0000"/>
    <numFmt numFmtId="170" formatCode="0.0000%"/>
    <numFmt numFmtId="171" formatCode="0.00000%"/>
    <numFmt numFmtId="172" formatCode="0.000000%"/>
    <numFmt numFmtId="173" formatCode="0.000%"/>
  </numFmts>
  <fonts count="4" x14ac:knownFonts="1">
    <font>
      <sz val="10"/>
      <name val="Arial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1" xfId="0" applyFont="1" applyBorder="1"/>
    <xf numFmtId="0" fontId="2" fillId="0" borderId="2" xfId="0" applyFont="1" applyBorder="1" applyAlignment="1">
      <alignment horizontal="center"/>
    </xf>
    <xf numFmtId="0" fontId="2" fillId="0" borderId="0" xfId="0" applyFont="1"/>
    <xf numFmtId="0" fontId="2" fillId="0" borderId="3" xfId="0" applyFont="1" applyBorder="1"/>
    <xf numFmtId="10" fontId="2" fillId="2" borderId="4" xfId="0" applyNumberFormat="1" applyFont="1" applyFill="1" applyBorder="1"/>
    <xf numFmtId="14" fontId="2" fillId="2" borderId="4" xfId="0" applyNumberFormat="1" applyFont="1" applyFill="1" applyBorder="1"/>
    <xf numFmtId="0" fontId="2" fillId="2" borderId="4" xfId="0" applyFont="1" applyFill="1" applyBorder="1"/>
    <xf numFmtId="2" fontId="2" fillId="0" borderId="2" xfId="0" applyNumberFormat="1" applyFont="1" applyBorder="1"/>
    <xf numFmtId="0" fontId="3" fillId="0" borderId="0" xfId="0" applyFont="1"/>
    <xf numFmtId="14" fontId="2" fillId="2" borderId="2" xfId="0" applyNumberFormat="1" applyFont="1" applyFill="1" applyBorder="1"/>
    <xf numFmtId="2" fontId="2" fillId="2" borderId="4" xfId="1" applyNumberFormat="1" applyFont="1" applyFill="1" applyBorder="1"/>
    <xf numFmtId="166" fontId="2" fillId="2" borderId="4" xfId="1" applyNumberFormat="1" applyFont="1" applyFill="1" applyBorder="1"/>
    <xf numFmtId="172" fontId="2" fillId="3" borderId="4" xfId="0" applyNumberFormat="1" applyFont="1" applyFill="1" applyBorder="1"/>
    <xf numFmtId="0" fontId="2" fillId="0" borderId="4" xfId="0" applyFont="1" applyBorder="1"/>
    <xf numFmtId="0" fontId="2" fillId="0" borderId="2" xfId="0" applyFont="1" applyBorder="1"/>
    <xf numFmtId="0" fontId="2" fillId="0" borderId="3" xfId="0" applyFont="1" applyBorder="1" applyAlignment="1">
      <alignment wrapText="1"/>
    </xf>
    <xf numFmtId="2" fontId="2" fillId="0" borderId="4" xfId="3" applyNumberFormat="1" applyFont="1" applyBorder="1"/>
    <xf numFmtId="2" fontId="2" fillId="0" borderId="2" xfId="3" applyNumberFormat="1" applyFont="1" applyBorder="1"/>
    <xf numFmtId="44" fontId="2" fillId="0" borderId="0" xfId="0" applyNumberFormat="1" applyFont="1"/>
    <xf numFmtId="2" fontId="2" fillId="0" borderId="4" xfId="0" applyNumberFormat="1" applyFont="1" applyBorder="1"/>
    <xf numFmtId="166" fontId="2" fillId="3" borderId="4" xfId="0" applyNumberFormat="1" applyFont="1" applyFill="1" applyBorder="1"/>
    <xf numFmtId="0" fontId="3" fillId="0" borderId="1" xfId="0" applyFont="1" applyBorder="1"/>
    <xf numFmtId="172" fontId="3" fillId="0" borderId="2" xfId="2" applyNumberFormat="1" applyFont="1" applyBorder="1"/>
    <xf numFmtId="2" fontId="3" fillId="0" borderId="2" xfId="0" applyNumberFormat="1" applyFont="1" applyBorder="1"/>
    <xf numFmtId="0" fontId="3" fillId="0" borderId="3" xfId="0" applyFont="1" applyBorder="1"/>
    <xf numFmtId="0" fontId="3" fillId="0" borderId="4" xfId="0" applyFont="1" applyBorder="1"/>
    <xf numFmtId="14" fontId="2" fillId="0" borderId="0" xfId="0" applyNumberFormat="1" applyFont="1"/>
    <xf numFmtId="2" fontId="2" fillId="2" borderId="4" xfId="0" applyNumberFormat="1" applyFont="1" applyFill="1" applyBorder="1"/>
    <xf numFmtId="173" fontId="2" fillId="2" borderId="4" xfId="0" applyNumberFormat="1" applyFont="1" applyFill="1" applyBorder="1"/>
    <xf numFmtId="0" fontId="2" fillId="3" borderId="4" xfId="0" applyFont="1" applyFill="1" applyBorder="1"/>
    <xf numFmtId="14" fontId="2" fillId="0" borderId="2" xfId="0" applyNumberFormat="1" applyFont="1" applyBorder="1"/>
    <xf numFmtId="0" fontId="2" fillId="0" borderId="5" xfId="0" applyFont="1" applyBorder="1"/>
    <xf numFmtId="168" fontId="2" fillId="0" borderId="0" xfId="0" applyNumberFormat="1" applyFont="1"/>
    <xf numFmtId="169" fontId="2" fillId="3" borderId="4" xfId="0" applyNumberFormat="1" applyFont="1" applyFill="1" applyBorder="1"/>
    <xf numFmtId="170" fontId="3" fillId="0" borderId="2" xfId="0" applyNumberFormat="1" applyFont="1" applyBorder="1"/>
    <xf numFmtId="0" fontId="2" fillId="0" borderId="7" xfId="0" applyFont="1" applyBorder="1"/>
    <xf numFmtId="170" fontId="2" fillId="0" borderId="1" xfId="0" applyNumberFormat="1" applyFont="1" applyBorder="1"/>
    <xf numFmtId="170" fontId="3" fillId="5" borderId="4" xfId="2" applyNumberFormat="1" applyFont="1" applyFill="1" applyBorder="1"/>
    <xf numFmtId="0" fontId="3" fillId="3" borderId="7" xfId="0" applyFont="1" applyFill="1" applyBorder="1"/>
    <xf numFmtId="170" fontId="3" fillId="5" borderId="1" xfId="2" applyNumberFormat="1" applyFont="1" applyFill="1" applyBorder="1"/>
    <xf numFmtId="170" fontId="2" fillId="0" borderId="0" xfId="2" applyNumberFormat="1" applyFont="1"/>
    <xf numFmtId="171" fontId="2" fillId="0" borderId="0" xfId="2" applyNumberFormat="1" applyFont="1"/>
    <xf numFmtId="10" fontId="2" fillId="4" borderId="2" xfId="2" applyFont="1" applyFill="1" applyBorder="1"/>
    <xf numFmtId="14" fontId="2" fillId="0" borderId="4" xfId="0" applyNumberFormat="1" applyFont="1" applyBorder="1"/>
    <xf numFmtId="10" fontId="2" fillId="2" borderId="4" xfId="2" applyFont="1" applyFill="1" applyBorder="1"/>
    <xf numFmtId="10" fontId="2" fillId="0" borderId="4" xfId="2" applyFont="1" applyBorder="1"/>
    <xf numFmtId="173" fontId="2" fillId="0" borderId="4" xfId="0" applyNumberFormat="1" applyFont="1" applyBorder="1"/>
    <xf numFmtId="44" fontId="2" fillId="2" borderId="4" xfId="3" applyFont="1" applyFill="1" applyBorder="1"/>
    <xf numFmtId="44" fontId="2" fillId="0" borderId="4" xfId="3" applyFont="1" applyBorder="1"/>
    <xf numFmtId="10" fontId="2" fillId="0" borderId="4" xfId="0" applyNumberFormat="1" applyFont="1" applyBorder="1"/>
    <xf numFmtId="164" fontId="2" fillId="0" borderId="0" xfId="0" applyNumberFormat="1" applyFont="1"/>
    <xf numFmtId="165" fontId="3" fillId="0" borderId="2" xfId="1" applyNumberFormat="1" applyFont="1" applyBorder="1"/>
    <xf numFmtId="0" fontId="3" fillId="0" borderId="2" xfId="0" applyFont="1" applyBorder="1"/>
    <xf numFmtId="10" fontId="2" fillId="0" borderId="2" xfId="2" applyFont="1" applyBorder="1"/>
    <xf numFmtId="166" fontId="2" fillId="0" borderId="2" xfId="0" applyNumberFormat="1" applyFont="1" applyBorder="1"/>
    <xf numFmtId="166" fontId="2" fillId="0" borderId="4" xfId="0" applyNumberFormat="1" applyFont="1" applyBorder="1"/>
    <xf numFmtId="167" fontId="2" fillId="0" borderId="4" xfId="0" applyNumberFormat="1" applyFont="1" applyBorder="1"/>
    <xf numFmtId="10" fontId="2" fillId="0" borderId="0" xfId="2" applyFont="1"/>
    <xf numFmtId="14" fontId="2" fillId="3" borderId="2" xfId="0" applyNumberFormat="1" applyFont="1" applyFill="1" applyBorder="1"/>
    <xf numFmtId="8" fontId="2" fillId="0" borderId="2" xfId="3" applyNumberFormat="1" applyFont="1" applyBorder="1"/>
    <xf numFmtId="8" fontId="2" fillId="0" borderId="4" xfId="3" applyNumberFormat="1" applyFont="1" applyBorder="1"/>
    <xf numFmtId="44" fontId="2" fillId="0" borderId="2" xfId="3" applyFont="1" applyBorder="1"/>
    <xf numFmtId="0" fontId="2" fillId="0" borderId="6" xfId="0" applyFont="1" applyBorder="1"/>
    <xf numFmtId="166" fontId="2" fillId="2" borderId="4" xfId="0" applyNumberFormat="1" applyFont="1" applyFill="1" applyBorder="1"/>
  </cellXfs>
  <cellStyles count="4">
    <cellStyle name="Komma" xfId="1" builtinId="3"/>
    <cellStyle name="Prozent" xfId="2" builtinId="5"/>
    <cellStyle name="Standard" xfId="0" builtinId="0"/>
    <cellStyle name="Währung" xfId="3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B3:D10"/>
  <sheetViews>
    <sheetView showGridLines="0" tabSelected="1" workbookViewId="0"/>
  </sheetViews>
  <sheetFormatPr baseColWidth="10" defaultRowHeight="15" x14ac:dyDescent="0.25"/>
  <cols>
    <col min="1" max="1" width="2.7109375" style="3" customWidth="1"/>
    <col min="2" max="2" width="13" style="3" customWidth="1"/>
    <col min="3" max="3" width="12.140625" style="3" customWidth="1"/>
    <col min="4" max="16384" width="11.42578125" style="3"/>
  </cols>
  <sheetData>
    <row r="3" spans="2:4" x14ac:dyDescent="0.25">
      <c r="B3" s="1" t="s">
        <v>0</v>
      </c>
      <c r="C3" s="2" t="s">
        <v>65</v>
      </c>
      <c r="D3" s="2" t="s">
        <v>66</v>
      </c>
    </row>
    <row r="4" spans="2:4" x14ac:dyDescent="0.25">
      <c r="B4" s="4" t="s">
        <v>1</v>
      </c>
      <c r="C4" s="5">
        <v>3.5000000000000003E-2</v>
      </c>
      <c r="D4" s="5">
        <v>0.02</v>
      </c>
    </row>
    <row r="5" spans="2:4" x14ac:dyDescent="0.25">
      <c r="B5" s="4" t="s">
        <v>2</v>
      </c>
      <c r="C5" s="6">
        <v>42189</v>
      </c>
      <c r="D5" s="6">
        <v>42426</v>
      </c>
    </row>
    <row r="6" spans="2:4" x14ac:dyDescent="0.25">
      <c r="B6" s="4" t="s">
        <v>3</v>
      </c>
      <c r="C6" s="7">
        <v>1</v>
      </c>
      <c r="D6" s="7">
        <v>1</v>
      </c>
    </row>
    <row r="7" spans="2:4" x14ac:dyDescent="0.25">
      <c r="B7" s="4" t="s">
        <v>4</v>
      </c>
      <c r="C7" s="5">
        <v>3.7000000000000002E-3</v>
      </c>
      <c r="D7" s="5">
        <v>3.8E-3</v>
      </c>
    </row>
    <row r="8" spans="2:4" x14ac:dyDescent="0.25">
      <c r="B8" s="4" t="s">
        <v>5</v>
      </c>
      <c r="C8" s="6">
        <v>41303</v>
      </c>
      <c r="D8" s="6">
        <v>41303</v>
      </c>
    </row>
    <row r="10" spans="2:4" x14ac:dyDescent="0.25">
      <c r="B10" s="1" t="s">
        <v>6</v>
      </c>
      <c r="C10" s="8">
        <f>DURATION(C8,C5,C4,C7,C6,4)</f>
        <v>2.3349797353757316</v>
      </c>
      <c r="D10" s="8">
        <f>DURATION(D8,D5,D4,D7,D6,4)</f>
        <v>2.9629481899058367</v>
      </c>
    </row>
  </sheetData>
  <phoneticPr fontId="0" type="noConversion"/>
  <pageMargins left="0.79" right="0.79" top="0.98" bottom="0.98" header="0.49" footer="0.49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B2:I57"/>
  <sheetViews>
    <sheetView showGridLines="0" workbookViewId="0"/>
  </sheetViews>
  <sheetFormatPr baseColWidth="10" defaultRowHeight="15" x14ac:dyDescent="0.25"/>
  <cols>
    <col min="1" max="1" width="2.7109375" style="3" customWidth="1"/>
    <col min="2" max="2" width="39.7109375" style="3" customWidth="1"/>
    <col min="3" max="3" width="11.42578125" style="3"/>
    <col min="4" max="4" width="4.42578125" style="3" customWidth="1"/>
    <col min="5" max="5" width="2.7109375" style="3" customWidth="1"/>
    <col min="6" max="6" width="11.42578125" style="3"/>
    <col min="7" max="7" width="39.7109375" style="3" customWidth="1"/>
    <col min="8" max="8" width="10.85546875" style="3" customWidth="1"/>
    <col min="9" max="9" width="4.140625" style="3" customWidth="1"/>
    <col min="10" max="16384" width="11.42578125" style="3"/>
  </cols>
  <sheetData>
    <row r="2" spans="2:3" x14ac:dyDescent="0.25">
      <c r="B2" s="9" t="s">
        <v>67</v>
      </c>
    </row>
    <row r="3" spans="2:3" x14ac:dyDescent="0.25">
      <c r="B3" s="9" t="s">
        <v>7</v>
      </c>
    </row>
    <row r="5" spans="2:3" x14ac:dyDescent="0.25">
      <c r="B5" s="1" t="s">
        <v>8</v>
      </c>
      <c r="C5" s="10">
        <v>41304</v>
      </c>
    </row>
    <row r="6" spans="2:3" x14ac:dyDescent="0.25">
      <c r="B6" s="4" t="s">
        <v>9</v>
      </c>
      <c r="C6" s="45">
        <v>1</v>
      </c>
    </row>
    <row r="7" spans="2:3" x14ac:dyDescent="0.25">
      <c r="B7" s="4" t="s">
        <v>2</v>
      </c>
      <c r="C7" s="6">
        <v>42373</v>
      </c>
    </row>
    <row r="8" spans="2:3" x14ac:dyDescent="0.25">
      <c r="B8" s="4" t="s">
        <v>1</v>
      </c>
      <c r="C8" s="29">
        <v>3.5000000000000003E-2</v>
      </c>
    </row>
    <row r="9" spans="2:3" x14ac:dyDescent="0.25">
      <c r="B9" s="4" t="s">
        <v>10</v>
      </c>
      <c r="C9" s="48">
        <v>1000</v>
      </c>
    </row>
    <row r="10" spans="2:3" x14ac:dyDescent="0.25">
      <c r="B10" s="4" t="s">
        <v>4</v>
      </c>
      <c r="C10" s="5">
        <v>3.8999999999999998E-3</v>
      </c>
    </row>
    <row r="11" spans="2:3" x14ac:dyDescent="0.25">
      <c r="B11" s="4" t="s">
        <v>11</v>
      </c>
      <c r="C11" s="14">
        <v>1</v>
      </c>
    </row>
    <row r="13" spans="2:3" x14ac:dyDescent="0.25">
      <c r="B13" s="1" t="s">
        <v>12</v>
      </c>
      <c r="C13" s="59">
        <f>COUPPCD(C5,C7,1,C11)</f>
        <v>41278</v>
      </c>
    </row>
    <row r="14" spans="2:3" x14ac:dyDescent="0.25">
      <c r="B14" s="4" t="s">
        <v>13</v>
      </c>
      <c r="C14" s="44">
        <f>COUPNCD(C5,C7,1,C11)</f>
        <v>41643</v>
      </c>
    </row>
    <row r="15" spans="2:3" x14ac:dyDescent="0.25">
      <c r="B15" s="32" t="s">
        <v>14</v>
      </c>
      <c r="C15" s="4">
        <f>COUPDAYSNC(C5,C7,1,C11)</f>
        <v>339</v>
      </c>
    </row>
    <row r="16" spans="2:3" x14ac:dyDescent="0.25">
      <c r="B16" s="16" t="s">
        <v>15</v>
      </c>
      <c r="C16" s="14">
        <f>COUPDAYBS(C5,C7,1,C11)</f>
        <v>26</v>
      </c>
    </row>
    <row r="17" spans="2:7" x14ac:dyDescent="0.25">
      <c r="B17" s="16" t="s">
        <v>16</v>
      </c>
      <c r="C17" s="14">
        <f>COUPDAYS(C5,C7,1,C11)</f>
        <v>365</v>
      </c>
    </row>
    <row r="18" spans="2:7" x14ac:dyDescent="0.25">
      <c r="B18" s="4" t="s">
        <v>17</v>
      </c>
      <c r="C18" s="49">
        <f>C8*C16/C17*C9</f>
        <v>2.4931506849315075</v>
      </c>
    </row>
    <row r="19" spans="2:7" x14ac:dyDescent="0.25">
      <c r="B19" s="16" t="s">
        <v>18</v>
      </c>
      <c r="C19" s="14">
        <f>COUPNUM(C5,C7,1,C11)</f>
        <v>3</v>
      </c>
    </row>
    <row r="21" spans="2:7" x14ac:dyDescent="0.25">
      <c r="B21" s="1" t="s">
        <v>19</v>
      </c>
      <c r="C21" s="60">
        <f>PV(C10,C19-1,-C8*C9,-C8*C9,1)</f>
        <v>104.59261906753686</v>
      </c>
    </row>
    <row r="22" spans="2:7" x14ac:dyDescent="0.25">
      <c r="B22" s="4" t="s">
        <v>20</v>
      </c>
      <c r="C22" s="61">
        <f>PV(C10,C19-1,0,-C6*C9)</f>
        <v>992.24539387533162</v>
      </c>
    </row>
    <row r="24" spans="2:7" x14ac:dyDescent="0.25">
      <c r="B24" s="1" t="s">
        <v>21</v>
      </c>
      <c r="C24" s="62">
        <f>(C21+C22)/(1+C10)^(C15/C17)</f>
        <v>1092.879941306526</v>
      </c>
    </row>
    <row r="26" spans="2:7" x14ac:dyDescent="0.25">
      <c r="B26" s="22" t="s">
        <v>22</v>
      </c>
      <c r="C26" s="52">
        <f>(C24-C18)/C9*100</f>
        <v>109.03867906215945</v>
      </c>
      <c r="D26" s="53" t="s">
        <v>23</v>
      </c>
    </row>
    <row r="27" spans="2:7" x14ac:dyDescent="0.25">
      <c r="C27" s="51"/>
    </row>
    <row r="28" spans="2:7" x14ac:dyDescent="0.25">
      <c r="B28" s="22" t="s">
        <v>24</v>
      </c>
      <c r="C28" s="52">
        <f>PRICE(C5,C7,C8,C10,C6*100,1,C11)</f>
        <v>109.03867906215949</v>
      </c>
      <c r="D28" s="53" t="s">
        <v>23</v>
      </c>
    </row>
    <row r="30" spans="2:7" x14ac:dyDescent="0.25">
      <c r="B30" s="9" t="s">
        <v>25</v>
      </c>
    </row>
    <row r="31" spans="2:7" x14ac:dyDescent="0.25">
      <c r="B31" s="9" t="s">
        <v>26</v>
      </c>
      <c r="G31" s="9" t="s">
        <v>27</v>
      </c>
    </row>
    <row r="33" spans="2:8" x14ac:dyDescent="0.25">
      <c r="B33" s="1" t="s">
        <v>8</v>
      </c>
      <c r="C33" s="10">
        <f>C5</f>
        <v>41304</v>
      </c>
      <c r="G33" s="1" t="s">
        <v>8</v>
      </c>
      <c r="H33" s="10">
        <f>C33</f>
        <v>41304</v>
      </c>
    </row>
    <row r="34" spans="2:8" x14ac:dyDescent="0.25">
      <c r="B34" s="4" t="s">
        <v>9</v>
      </c>
      <c r="C34" s="45">
        <f>C6</f>
        <v>1</v>
      </c>
      <c r="G34" s="4" t="s">
        <v>9</v>
      </c>
      <c r="H34" s="45">
        <f t="shared" ref="H34:H39" si="0">C34</f>
        <v>1</v>
      </c>
    </row>
    <row r="35" spans="2:8" x14ac:dyDescent="0.25">
      <c r="B35" s="4" t="s">
        <v>2</v>
      </c>
      <c r="C35" s="6">
        <f>C7</f>
        <v>42373</v>
      </c>
      <c r="G35" s="4" t="s">
        <v>2</v>
      </c>
      <c r="H35" s="6">
        <f t="shared" si="0"/>
        <v>42373</v>
      </c>
    </row>
    <row r="36" spans="2:8" x14ac:dyDescent="0.25">
      <c r="B36" s="4" t="s">
        <v>3</v>
      </c>
      <c r="C36" s="7">
        <v>2</v>
      </c>
      <c r="G36" s="4" t="s">
        <v>3</v>
      </c>
      <c r="H36" s="7">
        <f t="shared" si="0"/>
        <v>2</v>
      </c>
    </row>
    <row r="37" spans="2:8" x14ac:dyDescent="0.25">
      <c r="B37" s="4" t="s">
        <v>1</v>
      </c>
      <c r="C37" s="29">
        <f>C8</f>
        <v>3.5000000000000003E-2</v>
      </c>
      <c r="G37" s="4" t="s">
        <v>1</v>
      </c>
      <c r="H37" s="29">
        <f t="shared" si="0"/>
        <v>3.5000000000000003E-2</v>
      </c>
    </row>
    <row r="38" spans="2:8" x14ac:dyDescent="0.25">
      <c r="B38" s="4" t="s">
        <v>10</v>
      </c>
      <c r="C38" s="48">
        <f>C9</f>
        <v>1000</v>
      </c>
      <c r="G38" s="4" t="s">
        <v>10</v>
      </c>
      <c r="H38" s="48">
        <f t="shared" si="0"/>
        <v>1000</v>
      </c>
    </row>
    <row r="39" spans="2:8" x14ac:dyDescent="0.25">
      <c r="B39" s="63" t="s">
        <v>4</v>
      </c>
      <c r="C39" s="5">
        <f>C10</f>
        <v>3.8999999999999998E-3</v>
      </c>
      <c r="G39" s="4" t="s">
        <v>4</v>
      </c>
      <c r="H39" s="5">
        <f t="shared" si="0"/>
        <v>3.8999999999999998E-3</v>
      </c>
    </row>
    <row r="40" spans="2:8" x14ac:dyDescent="0.25">
      <c r="B40" s="1" t="s">
        <v>11</v>
      </c>
      <c r="C40" s="15">
        <v>1</v>
      </c>
      <c r="G40" s="4" t="s">
        <v>11</v>
      </c>
      <c r="H40" s="14">
        <v>1</v>
      </c>
    </row>
    <row r="41" spans="2:8" x14ac:dyDescent="0.25">
      <c r="G41" s="4" t="s">
        <v>28</v>
      </c>
      <c r="H41" s="5">
        <f>NOMINAL(H39,H36)</f>
        <v>3.8962048968502749E-3</v>
      </c>
    </row>
    <row r="42" spans="2:8" x14ac:dyDescent="0.25">
      <c r="B42" s="1" t="s">
        <v>12</v>
      </c>
      <c r="C42" s="59">
        <f>COUPPCD(C33,C35,C36,C40)</f>
        <v>41278</v>
      </c>
    </row>
    <row r="43" spans="2:8" x14ac:dyDescent="0.25">
      <c r="B43" s="4" t="s">
        <v>13</v>
      </c>
      <c r="C43" s="44">
        <f>COUPNCD(C33,C35,C36,C40)</f>
        <v>41459</v>
      </c>
      <c r="G43" s="1" t="s">
        <v>13</v>
      </c>
      <c r="H43" s="31">
        <f>COUPNCD(H33,H35,H36,H40)</f>
        <v>41459</v>
      </c>
    </row>
    <row r="44" spans="2:8" x14ac:dyDescent="0.25">
      <c r="B44" s="32" t="s">
        <v>14</v>
      </c>
      <c r="C44" s="4">
        <f>COUPDAYSNC(C33,C35,C36,C40)</f>
        <v>155</v>
      </c>
      <c r="G44" s="32" t="s">
        <v>14</v>
      </c>
      <c r="H44" s="4">
        <f>COUPDAYSNC(H33,H35,H36,H40)</f>
        <v>155</v>
      </c>
    </row>
    <row r="45" spans="2:8" x14ac:dyDescent="0.25">
      <c r="B45" s="16" t="s">
        <v>15</v>
      </c>
      <c r="C45" s="14">
        <f>COUPDAYBS(C33,C35,C36,C40)</f>
        <v>26</v>
      </c>
      <c r="G45" s="16" t="s">
        <v>15</v>
      </c>
      <c r="H45" s="14">
        <f>COUPDAYBS(H33,H35,H36,H40)</f>
        <v>26</v>
      </c>
    </row>
    <row r="46" spans="2:8" x14ac:dyDescent="0.25">
      <c r="B46" s="16" t="s">
        <v>29</v>
      </c>
      <c r="C46" s="14">
        <f>COUPDAYS(C33,C35,C36,C40)</f>
        <v>181</v>
      </c>
      <c r="G46" s="16" t="s">
        <v>29</v>
      </c>
      <c r="H46" s="14">
        <f>COUPDAYS(H33,H35,H36,H40)</f>
        <v>181</v>
      </c>
    </row>
    <row r="47" spans="2:8" x14ac:dyDescent="0.25">
      <c r="B47" s="4" t="s">
        <v>17</v>
      </c>
      <c r="C47" s="49">
        <f>C37/C36*C38*C45/C46</f>
        <v>2.5138121546961325</v>
      </c>
      <c r="G47" s="4" t="s">
        <v>17</v>
      </c>
      <c r="H47" s="49">
        <f>H37/H36*H38*H45/H46</f>
        <v>2.5138121546961325</v>
      </c>
    </row>
    <row r="48" spans="2:8" x14ac:dyDescent="0.25">
      <c r="B48" s="16" t="s">
        <v>18</v>
      </c>
      <c r="C48" s="14">
        <f>COUPNUM(C33,C35,C36,C40)</f>
        <v>6</v>
      </c>
      <c r="G48" s="16" t="s">
        <v>18</v>
      </c>
      <c r="H48" s="14">
        <f>COUPNUM(H33,H35,H36,H40)</f>
        <v>6</v>
      </c>
    </row>
    <row r="50" spans="2:9" x14ac:dyDescent="0.25">
      <c r="B50" s="1" t="s">
        <v>19</v>
      </c>
      <c r="C50" s="60">
        <f>PV(C39/2,C48-1,-C37/2*C38,-C37/2*C38,1)</f>
        <v>104.49044497980141</v>
      </c>
      <c r="G50" s="1" t="s">
        <v>19</v>
      </c>
      <c r="H50" s="60">
        <f>PV(H41/2,H48-1,-H37/2*H38,-H37/2*H38,1)</f>
        <v>104.49093858289136</v>
      </c>
    </row>
    <row r="51" spans="2:9" x14ac:dyDescent="0.25">
      <c r="B51" s="4" t="s">
        <v>20</v>
      </c>
      <c r="C51" s="61">
        <f>PV(C39/2,C48-1,0,-C34*C38)</f>
        <v>990.306778987965</v>
      </c>
      <c r="G51" s="4" t="s">
        <v>20</v>
      </c>
      <c r="H51" s="61">
        <f>PV(H41/2,H48-1,0,-H34*H38)</f>
        <v>990.31615654604968</v>
      </c>
    </row>
    <row r="53" spans="2:9" x14ac:dyDescent="0.25">
      <c r="B53" s="1" t="s">
        <v>21</v>
      </c>
      <c r="C53" s="62">
        <f>(C50+C51)/(1+C39/2)^(C44/C46)</f>
        <v>1092.9723363674952</v>
      </c>
      <c r="G53" s="1" t="s">
        <v>21</v>
      </c>
      <c r="H53" s="62">
        <f>(H50+H51)/(1+H41/2)^(H44/H46)</f>
        <v>1092.9839636900738</v>
      </c>
    </row>
    <row r="55" spans="2:9" x14ac:dyDescent="0.25">
      <c r="B55" s="22" t="s">
        <v>22</v>
      </c>
      <c r="C55" s="52">
        <f>(C53-C47)/C38*100</f>
        <v>109.0458524212799</v>
      </c>
      <c r="D55" s="53" t="s">
        <v>23</v>
      </c>
      <c r="G55" s="22" t="s">
        <v>22</v>
      </c>
      <c r="H55" s="52">
        <f>(H53-H47)/H38*100</f>
        <v>109.04701515353776</v>
      </c>
      <c r="I55" s="53" t="s">
        <v>23</v>
      </c>
    </row>
    <row r="56" spans="2:9" x14ac:dyDescent="0.25">
      <c r="C56" s="51"/>
      <c r="H56" s="51"/>
    </row>
    <row r="57" spans="2:9" x14ac:dyDescent="0.25">
      <c r="B57" s="22" t="s">
        <v>24</v>
      </c>
      <c r="C57" s="52">
        <f>PRICE(C33,C35,C37,C39,C34*100,C36,C40)</f>
        <v>109.04585242128044</v>
      </c>
      <c r="D57" s="53" t="s">
        <v>23</v>
      </c>
      <c r="G57" s="22" t="s">
        <v>24</v>
      </c>
      <c r="H57" s="52">
        <f>PRICE(H33,H35,H37,H41,H34*100,H36,H40)</f>
        <v>109.04701515353784</v>
      </c>
      <c r="I57" s="53" t="s">
        <v>23</v>
      </c>
    </row>
  </sheetData>
  <phoneticPr fontId="0" type="noConversion"/>
  <pageMargins left="0.79" right="0.79" top="0.98" bottom="0.98" header="0.49" footer="0.49"/>
  <pageSetup paperSize="9" orientation="portrait" horizontalDpi="4294967295" verticalDpi="0"/>
  <headerFooter alignWithMargins="0">
    <oddHeader>&amp;L&amp;F, &amp;A&amp;RSeite &amp;P</oddHeader>
    <oddFooter>&amp;LCopyRight Dr. Eckehard Pfeifer 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B2:H24"/>
  <sheetViews>
    <sheetView showGridLines="0" workbookViewId="0"/>
  </sheetViews>
  <sheetFormatPr baseColWidth="10" defaultRowHeight="15" x14ac:dyDescent="0.25"/>
  <cols>
    <col min="1" max="1" width="2.7109375" style="3" customWidth="1"/>
    <col min="2" max="2" width="23" style="3" customWidth="1"/>
    <col min="3" max="3" width="11.42578125" style="3"/>
    <col min="4" max="4" width="4.42578125" style="3" customWidth="1"/>
    <col min="5" max="5" width="2.7109375" style="3" customWidth="1"/>
    <col min="6" max="6" width="25.7109375" style="3" customWidth="1"/>
    <col min="7" max="7" width="10.85546875" style="3" customWidth="1"/>
    <col min="8" max="8" width="3.85546875" style="3" customWidth="1"/>
    <col min="9" max="9" width="4.140625" style="3" customWidth="1"/>
    <col min="10" max="16384" width="11.42578125" style="3"/>
  </cols>
  <sheetData>
    <row r="2" spans="2:8" x14ac:dyDescent="0.25">
      <c r="B2" s="9" t="s">
        <v>67</v>
      </c>
    </row>
    <row r="3" spans="2:8" x14ac:dyDescent="0.25">
      <c r="B3" s="9" t="s">
        <v>30</v>
      </c>
    </row>
    <row r="4" spans="2:8" x14ac:dyDescent="0.25">
      <c r="F4" s="1" t="s">
        <v>31</v>
      </c>
      <c r="G4" s="43">
        <v>5.0000000000000001E-3</v>
      </c>
    </row>
    <row r="5" spans="2:8" x14ac:dyDescent="0.25">
      <c r="B5" s="1" t="s">
        <v>8</v>
      </c>
      <c r="C5" s="10">
        <v>41304</v>
      </c>
      <c r="F5" s="4" t="s">
        <v>8</v>
      </c>
      <c r="G5" s="44">
        <f>C5</f>
        <v>41304</v>
      </c>
    </row>
    <row r="6" spans="2:8" x14ac:dyDescent="0.25">
      <c r="B6" s="4" t="s">
        <v>9</v>
      </c>
      <c r="C6" s="45">
        <v>1</v>
      </c>
      <c r="F6" s="4" t="s">
        <v>9</v>
      </c>
      <c r="G6" s="46">
        <f>C6</f>
        <v>1</v>
      </c>
    </row>
    <row r="7" spans="2:8" x14ac:dyDescent="0.25">
      <c r="B7" s="4" t="s">
        <v>2</v>
      </c>
      <c r="C7" s="6">
        <v>42373</v>
      </c>
      <c r="F7" s="4" t="s">
        <v>2</v>
      </c>
      <c r="G7" s="44">
        <f>C7</f>
        <v>42373</v>
      </c>
    </row>
    <row r="8" spans="2:8" x14ac:dyDescent="0.25">
      <c r="B8" s="4" t="s">
        <v>1</v>
      </c>
      <c r="C8" s="29">
        <v>3.5000000000000003E-2</v>
      </c>
      <c r="F8" s="4" t="s">
        <v>1</v>
      </c>
      <c r="G8" s="47">
        <f>C8</f>
        <v>3.5000000000000003E-2</v>
      </c>
    </row>
    <row r="9" spans="2:8" x14ac:dyDescent="0.25">
      <c r="B9" s="4" t="s">
        <v>10</v>
      </c>
      <c r="C9" s="48">
        <v>1000</v>
      </c>
      <c r="F9" s="4" t="s">
        <v>10</v>
      </c>
      <c r="G9" s="49">
        <f>C9</f>
        <v>1000</v>
      </c>
    </row>
    <row r="10" spans="2:8" x14ac:dyDescent="0.25">
      <c r="B10" s="4" t="s">
        <v>4</v>
      </c>
      <c r="C10" s="5">
        <v>3.8999999999999998E-3</v>
      </c>
      <c r="F10" s="4" t="s">
        <v>4</v>
      </c>
      <c r="G10" s="50">
        <f>C10+G4</f>
        <v>8.8999999999999999E-3</v>
      </c>
    </row>
    <row r="11" spans="2:8" x14ac:dyDescent="0.25">
      <c r="B11" s="4" t="s">
        <v>11</v>
      </c>
      <c r="C11" s="14">
        <v>1</v>
      </c>
      <c r="F11" s="4" t="s">
        <v>11</v>
      </c>
      <c r="G11" s="14">
        <v>1</v>
      </c>
    </row>
    <row r="13" spans="2:8" x14ac:dyDescent="0.25">
      <c r="C13" s="51"/>
      <c r="G13" s="51"/>
    </row>
    <row r="14" spans="2:8" x14ac:dyDescent="0.25">
      <c r="B14" s="22" t="s">
        <v>24</v>
      </c>
      <c r="C14" s="52">
        <f>PRICE(C5,C7,C8,C10,C6*100,1,C11)</f>
        <v>109.03867906215949</v>
      </c>
      <c r="D14" s="53"/>
      <c r="F14" s="22" t="s">
        <v>24</v>
      </c>
      <c r="G14" s="52">
        <f>PRICE(G5,G7,G8,G10,G6*100,1,G11)</f>
        <v>107.51134467863741</v>
      </c>
      <c r="H14" s="53" t="s">
        <v>23</v>
      </c>
    </row>
    <row r="16" spans="2:8" x14ac:dyDescent="0.25">
      <c r="F16" s="1" t="s">
        <v>32</v>
      </c>
      <c r="G16" s="54">
        <f>(G14-C14)/C14</f>
        <v>-1.4007271517397871E-2</v>
      </c>
    </row>
    <row r="18" spans="6:7" x14ac:dyDescent="0.25">
      <c r="F18" s="1" t="s">
        <v>33</v>
      </c>
      <c r="G18" s="55">
        <f>MDURATION(C5,C7,C8,C10,C11)</f>
        <v>2.8211694582966382</v>
      </c>
    </row>
    <row r="19" spans="6:7" x14ac:dyDescent="0.25">
      <c r="F19" s="4" t="s">
        <v>34</v>
      </c>
      <c r="G19" s="46">
        <f>-G18*G4</f>
        <v>-1.4105847291483191E-2</v>
      </c>
    </row>
    <row r="20" spans="6:7" x14ac:dyDescent="0.25">
      <c r="F20" s="4" t="s">
        <v>35</v>
      </c>
      <c r="G20" s="56">
        <f>G19*C14</f>
        <v>-1.5380829557158673</v>
      </c>
    </row>
    <row r="21" spans="6:7" x14ac:dyDescent="0.25">
      <c r="F21" s="4" t="s">
        <v>36</v>
      </c>
      <c r="G21" s="57">
        <f>C14+G20</f>
        <v>107.50059610644362</v>
      </c>
    </row>
    <row r="24" spans="6:7" x14ac:dyDescent="0.25">
      <c r="G24" s="58"/>
    </row>
  </sheetData>
  <phoneticPr fontId="0" type="noConversion"/>
  <pageMargins left="0.79" right="0.79" top="0.98" bottom="0.98" header="0.49" footer="0.49"/>
  <pageSetup paperSize="9" orientation="portrait" horizontalDpi="4294967295" verticalDpi="0"/>
  <headerFooter alignWithMargins="0">
    <oddHeader>&amp;L&amp;F, &amp;A&amp;RSeite &amp;P</oddHeader>
    <oddFooter>&amp;LCopyRight Dr. Eckehard Pfeifer 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1"/>
  <dimension ref="B2:F36"/>
  <sheetViews>
    <sheetView showGridLines="0" workbookViewId="0"/>
  </sheetViews>
  <sheetFormatPr baseColWidth="10" defaultRowHeight="15" x14ac:dyDescent="0.25"/>
  <cols>
    <col min="1" max="1" width="2.7109375" style="3" customWidth="1"/>
    <col min="2" max="2" width="39.7109375" style="3" customWidth="1"/>
    <col min="3" max="3" width="14.5703125" style="3" customWidth="1"/>
    <col min="4" max="4" width="3.140625" style="3" customWidth="1"/>
    <col min="5" max="5" width="39.7109375" style="3" customWidth="1"/>
    <col min="6" max="6" width="11.5703125" style="3" customWidth="1"/>
    <col min="7" max="7" width="2.7109375" style="3" customWidth="1"/>
    <col min="8" max="16384" width="11.42578125" style="3"/>
  </cols>
  <sheetData>
    <row r="2" spans="2:6" x14ac:dyDescent="0.25">
      <c r="B2" s="9" t="s">
        <v>30</v>
      </c>
      <c r="E2" s="9" t="s">
        <v>25</v>
      </c>
    </row>
    <row r="4" spans="2:6" x14ac:dyDescent="0.25">
      <c r="B4" s="9" t="s">
        <v>37</v>
      </c>
      <c r="E4" s="9" t="s">
        <v>38</v>
      </c>
      <c r="F4" s="27"/>
    </row>
    <row r="6" spans="2:6" x14ac:dyDescent="0.25">
      <c r="B6" s="1" t="s">
        <v>8</v>
      </c>
      <c r="C6" s="10">
        <v>41304</v>
      </c>
      <c r="E6" s="1" t="s">
        <v>8</v>
      </c>
      <c r="F6" s="10">
        <f>C6</f>
        <v>41304</v>
      </c>
    </row>
    <row r="7" spans="2:6" x14ac:dyDescent="0.25">
      <c r="B7" s="4" t="s">
        <v>39</v>
      </c>
      <c r="C7" s="64">
        <v>109.01</v>
      </c>
      <c r="E7" s="4" t="s">
        <v>39</v>
      </c>
      <c r="F7" s="64">
        <f t="shared" ref="F7:F10" si="0">C7</f>
        <v>109.01</v>
      </c>
    </row>
    <row r="8" spans="2:6" x14ac:dyDescent="0.25">
      <c r="B8" s="4" t="s">
        <v>9</v>
      </c>
      <c r="C8" s="28">
        <v>100</v>
      </c>
      <c r="E8" s="4" t="s">
        <v>9</v>
      </c>
      <c r="F8" s="28">
        <f t="shared" si="0"/>
        <v>100</v>
      </c>
    </row>
    <row r="9" spans="2:6" x14ac:dyDescent="0.25">
      <c r="B9" s="4" t="s">
        <v>2</v>
      </c>
      <c r="C9" s="6">
        <v>42373</v>
      </c>
      <c r="E9" s="4" t="s">
        <v>2</v>
      </c>
      <c r="F9" s="6">
        <f t="shared" si="0"/>
        <v>42373</v>
      </c>
    </row>
    <row r="10" spans="2:6" x14ac:dyDescent="0.25">
      <c r="B10" s="4" t="s">
        <v>1</v>
      </c>
      <c r="C10" s="29">
        <v>3.5000000000000003E-2</v>
      </c>
      <c r="E10" s="4" t="s">
        <v>1</v>
      </c>
      <c r="F10" s="29">
        <f t="shared" si="0"/>
        <v>3.5000000000000003E-2</v>
      </c>
    </row>
    <row r="11" spans="2:6" x14ac:dyDescent="0.25">
      <c r="B11" s="4" t="s">
        <v>11</v>
      </c>
      <c r="C11" s="14">
        <v>1</v>
      </c>
      <c r="E11" s="4" t="s">
        <v>11</v>
      </c>
      <c r="F11" s="14">
        <v>1</v>
      </c>
    </row>
    <row r="12" spans="2:6" x14ac:dyDescent="0.25">
      <c r="B12" s="4" t="s">
        <v>3</v>
      </c>
      <c r="C12" s="30">
        <v>1</v>
      </c>
      <c r="E12" s="4" t="s">
        <v>3</v>
      </c>
      <c r="F12" s="7">
        <v>2</v>
      </c>
    </row>
    <row r="14" spans="2:6" x14ac:dyDescent="0.25">
      <c r="B14" s="1" t="s">
        <v>40</v>
      </c>
      <c r="C14" s="31">
        <f>COUPNCD(C6,C9,C12,C11)</f>
        <v>41643</v>
      </c>
      <c r="E14" s="1" t="s">
        <v>40</v>
      </c>
      <c r="F14" s="31">
        <f>COUPNCD(F6,F9,F12,F11)</f>
        <v>41459</v>
      </c>
    </row>
    <row r="15" spans="2:6" ht="14.25" customHeight="1" x14ac:dyDescent="0.25">
      <c r="B15" s="32" t="s">
        <v>14</v>
      </c>
      <c r="C15" s="4">
        <f>COUPDAYSNC(C6,C9,C12,C11)</f>
        <v>339</v>
      </c>
      <c r="E15" s="32" t="s">
        <v>41</v>
      </c>
      <c r="F15" s="4">
        <f>COUPDAYSNC(F6,F9,F12,F11)</f>
        <v>155</v>
      </c>
    </row>
    <row r="16" spans="2:6" x14ac:dyDescent="0.25">
      <c r="B16" s="16" t="s">
        <v>15</v>
      </c>
      <c r="C16" s="14">
        <f>COUPDAYBS(C6,C9,C12,C11)</f>
        <v>26</v>
      </c>
      <c r="E16" s="16" t="s">
        <v>15</v>
      </c>
      <c r="F16" s="14">
        <f>COUPDAYBS(F6,F9,F12,F11)</f>
        <v>26</v>
      </c>
    </row>
    <row r="17" spans="2:6" x14ac:dyDescent="0.25">
      <c r="B17" s="16" t="s">
        <v>16</v>
      </c>
      <c r="C17" s="14">
        <f>COUPDAYS(C6,C9,C12,C11)</f>
        <v>365</v>
      </c>
      <c r="E17" s="16" t="s">
        <v>42</v>
      </c>
      <c r="F17" s="14">
        <f>COUPDAYS(F6,F9,F12,F11)</f>
        <v>181</v>
      </c>
    </row>
    <row r="18" spans="2:6" x14ac:dyDescent="0.25">
      <c r="B18" s="4" t="s">
        <v>17</v>
      </c>
      <c r="C18" s="20">
        <f>C10*C16/C17*C8</f>
        <v>0.24931506849315074</v>
      </c>
      <c r="E18" s="4" t="s">
        <v>17</v>
      </c>
      <c r="F18" s="20">
        <f>F10/2*F16/F17*100</f>
        <v>0.25138121546961328</v>
      </c>
    </row>
    <row r="19" spans="2:6" ht="15" customHeight="1" x14ac:dyDescent="0.25">
      <c r="B19" s="16" t="s">
        <v>18</v>
      </c>
      <c r="C19" s="14">
        <f>COUPNUM(C6,C9,C12,C11)</f>
        <v>3</v>
      </c>
      <c r="E19" s="16" t="s">
        <v>18</v>
      </c>
      <c r="F19" s="14">
        <f>COUPNUM(F6,F9,F12,F11)</f>
        <v>6</v>
      </c>
    </row>
    <row r="20" spans="2:6" ht="15" customHeight="1" x14ac:dyDescent="0.25">
      <c r="B20" s="4" t="s">
        <v>19</v>
      </c>
      <c r="C20" s="20">
        <f>PV(C27,C19-1,-C10*C8,-C10*C8,1)</f>
        <v>10.458295584831312</v>
      </c>
      <c r="E20" s="4" t="s">
        <v>19</v>
      </c>
      <c r="F20" s="20">
        <f>PV(F27,F19-1,-F10/2*100,-F10/2*100,1)</f>
        <v>10.447522394682132</v>
      </c>
    </row>
    <row r="21" spans="2:6" x14ac:dyDescent="0.25">
      <c r="B21" s="4" t="s">
        <v>20</v>
      </c>
      <c r="C21" s="20">
        <f>PV(C27,C19-1,0,-C8)</f>
        <v>99.206157437128127</v>
      </c>
      <c r="E21" s="4" t="s">
        <v>20</v>
      </c>
      <c r="F21" s="20">
        <f>PV(F27,F19-1,0,-F8)</f>
        <v>99.001761878142986</v>
      </c>
    </row>
    <row r="22" spans="2:6" x14ac:dyDescent="0.25">
      <c r="C22" s="33"/>
    </row>
    <row r="23" spans="2:6" x14ac:dyDescent="0.25">
      <c r="B23" s="1" t="s">
        <v>43</v>
      </c>
      <c r="C23" s="8">
        <f>C7+C18</f>
        <v>109.25931506849315</v>
      </c>
      <c r="E23" s="1" t="s">
        <v>43</v>
      </c>
      <c r="F23" s="8">
        <f>F7+F18</f>
        <v>109.26138121546961</v>
      </c>
    </row>
    <row r="24" spans="2:6" x14ac:dyDescent="0.25">
      <c r="B24" s="4" t="s">
        <v>44</v>
      </c>
      <c r="C24" s="20">
        <f>PV(C27,C15/C17,0,-C21-C20)</f>
        <v>109.25931483754368</v>
      </c>
      <c r="E24" s="4" t="s">
        <v>44</v>
      </c>
      <c r="F24" s="20">
        <f>PV(F27,F15/F17,0,-F21-F20)</f>
        <v>109.2613812154635</v>
      </c>
    </row>
    <row r="25" spans="2:6" x14ac:dyDescent="0.25">
      <c r="B25" s="4" t="s">
        <v>45</v>
      </c>
      <c r="C25" s="34">
        <f>C23-C24</f>
        <v>2.3094946755009005E-7</v>
      </c>
      <c r="E25" s="4" t="s">
        <v>45</v>
      </c>
      <c r="F25" s="34">
        <f>F23-F24</f>
        <v>6.1106675275368616E-12</v>
      </c>
    </row>
    <row r="27" spans="2:6" x14ac:dyDescent="0.25">
      <c r="B27" s="22" t="s">
        <v>46</v>
      </c>
      <c r="C27" s="35">
        <v>3.9930022175379181E-3</v>
      </c>
      <c r="E27" s="36" t="s">
        <v>47</v>
      </c>
      <c r="F27" s="37">
        <v>2.0085222365370165E-3</v>
      </c>
    </row>
    <row r="28" spans="2:6" x14ac:dyDescent="0.25">
      <c r="E28" s="25" t="s">
        <v>46</v>
      </c>
      <c r="F28" s="38">
        <f>EFFECT(F12*F27,F12)</f>
        <v>4.0210786346484007E-3</v>
      </c>
    </row>
    <row r="30" spans="2:6" x14ac:dyDescent="0.25">
      <c r="B30" s="9" t="s">
        <v>48</v>
      </c>
      <c r="C30" s="9"/>
      <c r="D30" s="9"/>
      <c r="E30" s="9"/>
    </row>
    <row r="32" spans="2:6" x14ac:dyDescent="0.25">
      <c r="B32" s="22" t="s">
        <v>46</v>
      </c>
      <c r="C32" s="35">
        <f>YIELD(C6,C9,C10,C7,C8,1,C11)</f>
        <v>3.9930014076625144E-3</v>
      </c>
      <c r="E32" s="22" t="s">
        <v>46</v>
      </c>
      <c r="F32" s="35">
        <f>YIELD(F6,F9,F10,F7,F8,F12,F11)</f>
        <v>4.0170444730557317E-3</v>
      </c>
    </row>
    <row r="34" spans="3:6" x14ac:dyDescent="0.25">
      <c r="E34" s="39" t="s">
        <v>64</v>
      </c>
      <c r="F34" s="40">
        <f>EFFECT(F32,F12)</f>
        <v>4.021078634630193E-3</v>
      </c>
    </row>
    <row r="35" spans="3:6" x14ac:dyDescent="0.25">
      <c r="C35" s="41"/>
    </row>
    <row r="36" spans="3:6" x14ac:dyDescent="0.25">
      <c r="F36" s="42"/>
    </row>
  </sheetData>
  <phoneticPr fontId="0" type="noConversion"/>
  <pageMargins left="0.79" right="0.79" top="0.98" bottom="0.98" header="0.49" footer="0.49"/>
  <pageSetup paperSize="9" orientation="portrait" horizontalDpi="4294967295" verticalDpi="0" copies="0"/>
  <headerFooter alignWithMargins="0">
    <oddHeader>&amp;L&amp;F, &amp;A&amp;RSeite &amp;P</oddHeader>
    <oddFooter>&amp;LCopyRight Dr. Eckehard Pfeifer 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B2:E26"/>
  <sheetViews>
    <sheetView showGridLines="0" workbookViewId="0"/>
  </sheetViews>
  <sheetFormatPr baseColWidth="10" defaultRowHeight="15" x14ac:dyDescent="0.25"/>
  <cols>
    <col min="1" max="1" width="2.7109375" style="3" customWidth="1"/>
    <col min="2" max="2" width="33.5703125" style="3" customWidth="1"/>
    <col min="3" max="3" width="16" style="3" customWidth="1"/>
    <col min="4" max="4" width="2.7109375" style="3" customWidth="1"/>
    <col min="5" max="16384" width="11.42578125" style="3"/>
  </cols>
  <sheetData>
    <row r="2" spans="2:3" x14ac:dyDescent="0.25">
      <c r="B2" s="9" t="s">
        <v>49</v>
      </c>
    </row>
    <row r="3" spans="2:3" x14ac:dyDescent="0.25">
      <c r="B3" s="9"/>
    </row>
    <row r="4" spans="2:3" x14ac:dyDescent="0.25">
      <c r="B4" s="1" t="s">
        <v>50</v>
      </c>
      <c r="C4" s="10">
        <v>41395</v>
      </c>
    </row>
    <row r="5" spans="2:3" x14ac:dyDescent="0.25">
      <c r="B5" s="4" t="s">
        <v>51</v>
      </c>
      <c r="C5" s="6">
        <v>41593</v>
      </c>
    </row>
    <row r="6" spans="2:3" x14ac:dyDescent="0.25">
      <c r="B6" s="4" t="s">
        <v>8</v>
      </c>
      <c r="C6" s="6">
        <v>41527</v>
      </c>
    </row>
    <row r="7" spans="2:3" x14ac:dyDescent="0.25">
      <c r="B7" s="4" t="s">
        <v>2</v>
      </c>
      <c r="C7" s="6">
        <v>41958</v>
      </c>
    </row>
    <row r="8" spans="2:3" x14ac:dyDescent="0.25">
      <c r="B8" s="4" t="s">
        <v>1</v>
      </c>
      <c r="C8" s="5">
        <v>0.04</v>
      </c>
    </row>
    <row r="9" spans="2:3" x14ac:dyDescent="0.25">
      <c r="B9" s="4" t="s">
        <v>10</v>
      </c>
      <c r="C9" s="11">
        <v>100</v>
      </c>
    </row>
    <row r="10" spans="2:3" x14ac:dyDescent="0.25">
      <c r="B10" s="4" t="s">
        <v>4</v>
      </c>
      <c r="C10" s="5">
        <v>4.1070000000000002E-2</v>
      </c>
    </row>
    <row r="11" spans="2:3" x14ac:dyDescent="0.25">
      <c r="B11" s="4" t="s">
        <v>11</v>
      </c>
      <c r="C11" s="14">
        <v>4</v>
      </c>
    </row>
    <row r="13" spans="2:3" x14ac:dyDescent="0.25">
      <c r="B13" s="1" t="s">
        <v>52</v>
      </c>
      <c r="C13" s="15">
        <f>DAYS360(C6,C5,TRUE)</f>
        <v>65</v>
      </c>
    </row>
    <row r="14" spans="2:3" x14ac:dyDescent="0.25">
      <c r="B14" s="16" t="s">
        <v>15</v>
      </c>
      <c r="C14" s="14">
        <f>DAYS360(C4,C6,TRUE)</f>
        <v>129</v>
      </c>
    </row>
    <row r="15" spans="2:3" x14ac:dyDescent="0.25">
      <c r="B15" s="16" t="s">
        <v>53</v>
      </c>
      <c r="C15" s="14">
        <f>DAYS360(C4,C5,TRUE)</f>
        <v>194</v>
      </c>
    </row>
    <row r="16" spans="2:3" x14ac:dyDescent="0.25">
      <c r="B16" s="4" t="s">
        <v>17</v>
      </c>
      <c r="C16" s="17">
        <f>C8*C9*C14/360</f>
        <v>1.4333333333333333</v>
      </c>
    </row>
    <row r="17" spans="2:5" x14ac:dyDescent="0.25">
      <c r="B17" s="16" t="s">
        <v>18</v>
      </c>
      <c r="C17" s="14">
        <f>COUPNUM(C6,C7,1,C11)</f>
        <v>2</v>
      </c>
    </row>
    <row r="19" spans="2:5" x14ac:dyDescent="0.25">
      <c r="B19" s="1" t="s">
        <v>54</v>
      </c>
      <c r="C19" s="18">
        <f>PV(C10,C17-1,-C8*C9,,0)</f>
        <v>3.8422008126254661</v>
      </c>
    </row>
    <row r="20" spans="2:5" x14ac:dyDescent="0.25">
      <c r="B20" s="4" t="s">
        <v>55</v>
      </c>
      <c r="C20" s="17">
        <f>C9*C8*C15/360</f>
        <v>2.1555555555555554</v>
      </c>
      <c r="E20" s="19"/>
    </row>
    <row r="21" spans="2:5" x14ac:dyDescent="0.25">
      <c r="B21" s="4" t="s">
        <v>56</v>
      </c>
      <c r="C21" s="17">
        <f>PV(C10,C17-1,0,-C9)</f>
        <v>96.055020315636796</v>
      </c>
    </row>
    <row r="23" spans="2:5" x14ac:dyDescent="0.25">
      <c r="B23" s="1" t="s">
        <v>21</v>
      </c>
      <c r="C23" s="18">
        <f>(C19+C20+C21)/(1+C10)^(C13/360)</f>
        <v>101.31382845838723</v>
      </c>
    </row>
    <row r="25" spans="2:5" x14ac:dyDescent="0.25">
      <c r="B25" s="22" t="s">
        <v>22</v>
      </c>
      <c r="C25" s="24">
        <f>C23-C16</f>
        <v>99.880495125053898</v>
      </c>
    </row>
    <row r="26" spans="2:5" x14ac:dyDescent="0.25">
      <c r="B26" s="25" t="s">
        <v>57</v>
      </c>
      <c r="C26" s="26">
        <f>ODDFPRICE(C6,C7,C4,C5,C8,C10,C9,1,C11)</f>
        <v>99.880495125053898</v>
      </c>
    </row>
  </sheetData>
  <phoneticPr fontId="0" type="noConversion"/>
  <pageMargins left="0.79" right="0.79" top="0.98" bottom="0.98" header="0.49" footer="0.49"/>
  <pageSetup paperSize="9" orientation="portrait" horizontalDpi="4294967295" verticalDpi="0"/>
  <headerFooter alignWithMargins="0">
    <oddHeader>&amp;L&amp;F, &amp;A&amp;RSeite &amp;P</oddHeader>
    <oddFooter>&amp;LCopyRight Dr. Eckehard Pfeifer 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B2:E28"/>
  <sheetViews>
    <sheetView showGridLines="0" workbookViewId="0"/>
  </sheetViews>
  <sheetFormatPr baseColWidth="10" defaultRowHeight="15" x14ac:dyDescent="0.25"/>
  <cols>
    <col min="1" max="1" width="2.7109375" style="3" customWidth="1"/>
    <col min="2" max="2" width="33.5703125" style="3" customWidth="1"/>
    <col min="3" max="3" width="16" style="3" customWidth="1"/>
    <col min="4" max="4" width="2.7109375" style="3" customWidth="1"/>
    <col min="5" max="16384" width="11.42578125" style="3"/>
  </cols>
  <sheetData>
    <row r="2" spans="2:5" x14ac:dyDescent="0.25">
      <c r="B2" s="9" t="s">
        <v>58</v>
      </c>
    </row>
    <row r="3" spans="2:5" x14ac:dyDescent="0.25">
      <c r="B3" s="9"/>
    </row>
    <row r="4" spans="2:5" x14ac:dyDescent="0.25">
      <c r="B4" s="1" t="s">
        <v>50</v>
      </c>
      <c r="C4" s="10">
        <v>41395</v>
      </c>
    </row>
    <row r="5" spans="2:5" x14ac:dyDescent="0.25">
      <c r="B5" s="4" t="s">
        <v>51</v>
      </c>
      <c r="C5" s="6">
        <v>41593</v>
      </c>
    </row>
    <row r="6" spans="2:5" x14ac:dyDescent="0.25">
      <c r="B6" s="4" t="s">
        <v>8</v>
      </c>
      <c r="C6" s="6">
        <v>41527</v>
      </c>
    </row>
    <row r="7" spans="2:5" x14ac:dyDescent="0.25">
      <c r="B7" s="4" t="s">
        <v>2</v>
      </c>
      <c r="C7" s="6">
        <v>41958</v>
      </c>
    </row>
    <row r="8" spans="2:5" x14ac:dyDescent="0.25">
      <c r="B8" s="4" t="s">
        <v>1</v>
      </c>
      <c r="C8" s="5">
        <v>0.04</v>
      </c>
    </row>
    <row r="9" spans="2:5" x14ac:dyDescent="0.25">
      <c r="B9" s="4" t="s">
        <v>10</v>
      </c>
      <c r="C9" s="11">
        <v>100</v>
      </c>
    </row>
    <row r="10" spans="2:5" x14ac:dyDescent="0.25">
      <c r="B10" s="4" t="s">
        <v>22</v>
      </c>
      <c r="C10" s="12">
        <v>99.88</v>
      </c>
    </row>
    <row r="11" spans="2:5" x14ac:dyDescent="0.25">
      <c r="B11" s="4" t="s">
        <v>59</v>
      </c>
      <c r="C11" s="13">
        <v>4.1074388155656408E-2</v>
      </c>
      <c r="E11" s="3" t="s">
        <v>60</v>
      </c>
    </row>
    <row r="12" spans="2:5" x14ac:dyDescent="0.25">
      <c r="B12" s="4" t="s">
        <v>11</v>
      </c>
      <c r="C12" s="14">
        <v>4</v>
      </c>
    </row>
    <row r="14" spans="2:5" x14ac:dyDescent="0.25">
      <c r="B14" s="1" t="s">
        <v>52</v>
      </c>
      <c r="C14" s="15">
        <f>DAYS360(C6,C5,TRUE)</f>
        <v>65</v>
      </c>
    </row>
    <row r="15" spans="2:5" x14ac:dyDescent="0.25">
      <c r="B15" s="16" t="s">
        <v>15</v>
      </c>
      <c r="C15" s="14">
        <f>DAYS360(C4,C6,TRUE)</f>
        <v>129</v>
      </c>
    </row>
    <row r="16" spans="2:5" x14ac:dyDescent="0.25">
      <c r="B16" s="16" t="s">
        <v>53</v>
      </c>
      <c r="C16" s="14">
        <f>DAYS360(C4,C5,TRUE)</f>
        <v>194</v>
      </c>
    </row>
    <row r="17" spans="2:5" x14ac:dyDescent="0.25">
      <c r="B17" s="4" t="s">
        <v>17</v>
      </c>
      <c r="C17" s="17">
        <f>C8*C9*C15/360</f>
        <v>1.4333333333333333</v>
      </c>
    </row>
    <row r="18" spans="2:5" x14ac:dyDescent="0.25">
      <c r="B18" s="16" t="s">
        <v>18</v>
      </c>
      <c r="C18" s="14">
        <f>COUPNUM(C6,C7,1,C12)</f>
        <v>2</v>
      </c>
    </row>
    <row r="20" spans="2:5" x14ac:dyDescent="0.25">
      <c r="B20" s="1" t="s">
        <v>54</v>
      </c>
      <c r="C20" s="18">
        <f>PV(C11,C18-1,-C8*C9,,0)</f>
        <v>3.8421846176489867</v>
      </c>
    </row>
    <row r="21" spans="2:5" x14ac:dyDescent="0.25">
      <c r="B21" s="4" t="s">
        <v>55</v>
      </c>
      <c r="C21" s="17">
        <f>C9*C8*C16/360</f>
        <v>2.1555555555555554</v>
      </c>
      <c r="E21" s="19"/>
    </row>
    <row r="22" spans="2:5" x14ac:dyDescent="0.25">
      <c r="B22" s="4" t="s">
        <v>56</v>
      </c>
      <c r="C22" s="17">
        <f>PV(C11,C18-1,0,-C9)</f>
        <v>96.054615441224826</v>
      </c>
    </row>
    <row r="24" spans="2:5" x14ac:dyDescent="0.25">
      <c r="B24" s="1" t="s">
        <v>21</v>
      </c>
      <c r="C24" s="18">
        <f>(C20+C21+C22)/(1+C11)^(C14/360)</f>
        <v>101.31333333356027</v>
      </c>
    </row>
    <row r="25" spans="2:5" x14ac:dyDescent="0.25">
      <c r="B25" s="4" t="s">
        <v>61</v>
      </c>
      <c r="C25" s="20">
        <f>C10+C17</f>
        <v>101.31333333333333</v>
      </c>
    </row>
    <row r="26" spans="2:5" x14ac:dyDescent="0.25">
      <c r="B26" s="4" t="s">
        <v>45</v>
      </c>
      <c r="C26" s="21">
        <f>C24-C25</f>
        <v>2.269331389470608E-10</v>
      </c>
      <c r="E26" s="3" t="s">
        <v>62</v>
      </c>
    </row>
    <row r="28" spans="2:5" x14ac:dyDescent="0.25">
      <c r="B28" s="22" t="s">
        <v>63</v>
      </c>
      <c r="C28" s="23">
        <f>ODDFYIELD(C6,C7,C4,C5,C8,C10,C9,1,C12)</f>
        <v>4.1074388157158206E-2</v>
      </c>
    </row>
  </sheetData>
  <phoneticPr fontId="0" type="noConversion"/>
  <pageMargins left="0.79" right="0.79" top="0.98" bottom="0.98" header="0.49" footer="0.49"/>
  <pageSetup paperSize="9" orientation="portrait" horizontalDpi="4294967295" verticalDpi="0"/>
  <headerFooter alignWithMargins="0">
    <oddHeader>&amp;L&amp;F, &amp;A&amp;RSeite &amp;P</oddHeader>
    <oddFooter>&amp;LCopyRight Dr. Eckehard Pfeifer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DURATION</vt:lpstr>
      <vt:lpstr>KURS</vt:lpstr>
      <vt:lpstr>MDURATION</vt:lpstr>
      <vt:lpstr>RENDITE</vt:lpstr>
      <vt:lpstr>UNREGER.KURS</vt:lpstr>
      <vt:lpstr>UNREGER.REND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Kursrechnung</dc:title>
  <dc:subject>Excel Maxibuch</dc:subject>
  <dc:creator>Dr. Eckehard Pfeifer</dc:creator>
  <cp:lastModifiedBy>Dr. Eckehard Pfeifer</cp:lastModifiedBy>
  <dcterms:created xsi:type="dcterms:W3CDTF">2010-08-13T12:00:00Z</dcterms:created>
  <dcterms:modified xsi:type="dcterms:W3CDTF">2013-01-30T16:27:45Z</dcterms:modified>
</cp:coreProperties>
</file>