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0" yWindow="0" windowWidth="25200" windowHeight="11355"/>
  </bookViews>
  <sheets>
    <sheet name="IKV" sheetId="1" r:id="rId1"/>
    <sheet name="NBW" sheetId="2" r:id="rId2"/>
    <sheet name="QIKV" sheetId="3" r:id="rId3"/>
    <sheet name="XINTZINSFUSS" sheetId="4" r:id="rId4"/>
    <sheet name="XKAPITALWERT" sheetId="5" r:id="rId5"/>
  </sheets>
  <definedNames>
    <definedName name="Kapitalwert" localSheetId="3">XINTZINSFUSS!#REF!</definedName>
    <definedName name="Zinssatz" localSheetId="3">XINTZINSFUSS!#REF!</definedName>
  </definedNames>
  <calcPr calcId="152511" iterate="1" iterateDelta="9.9999999999999995E-7"/>
</workbook>
</file>

<file path=xl/calcChain.xml><?xml version="1.0" encoding="utf-8"?>
<calcChain xmlns="http://schemas.openxmlformats.org/spreadsheetml/2006/main">
  <c r="E34" i="2" l="1"/>
  <c r="E33" i="2"/>
  <c r="E32" i="2"/>
  <c r="F32" i="2" s="1"/>
  <c r="F34" i="2"/>
  <c r="F36" i="2" s="1"/>
  <c r="F33" i="2"/>
  <c r="D31" i="2"/>
  <c r="F31" i="2" s="1"/>
  <c r="E21" i="1" l="1"/>
  <c r="E20" i="1"/>
  <c r="F21" i="1"/>
  <c r="F23" i="1" s="1"/>
  <c r="E19" i="1"/>
  <c r="F19" i="1" s="1"/>
  <c r="F20" i="1"/>
  <c r="D18" i="1"/>
  <c r="F18" i="1" s="1"/>
  <c r="I17" i="2"/>
  <c r="C15" i="2"/>
  <c r="I14" i="2"/>
  <c r="I7" i="2"/>
  <c r="I9" i="2"/>
  <c r="I10" i="2"/>
  <c r="I11" i="2"/>
  <c r="I12" i="2"/>
  <c r="I13" i="2"/>
  <c r="I8" i="2"/>
  <c r="E8" i="2"/>
  <c r="F8" i="2" s="1"/>
  <c r="E9" i="2" l="1"/>
  <c r="F10" i="5"/>
  <c r="B10" i="5"/>
  <c r="F9" i="5"/>
  <c r="F8" i="5"/>
  <c r="B8" i="5"/>
  <c r="F7" i="5"/>
  <c r="F6" i="5"/>
  <c r="B6" i="5"/>
  <c r="C12" i="5" s="1"/>
  <c r="F5" i="5"/>
  <c r="N45" i="4"/>
  <c r="O45" i="4" s="1"/>
  <c r="N44" i="4"/>
  <c r="O44" i="4" s="1"/>
  <c r="N43" i="4"/>
  <c r="O43" i="4" s="1"/>
  <c r="N42" i="4"/>
  <c r="O42" i="4" s="1"/>
  <c r="N41" i="4"/>
  <c r="O41" i="4" s="1"/>
  <c r="N40" i="4"/>
  <c r="O40" i="4" s="1"/>
  <c r="N39" i="4"/>
  <c r="O39" i="4" s="1"/>
  <c r="N38" i="4"/>
  <c r="O38" i="4" s="1"/>
  <c r="N37" i="4"/>
  <c r="O37" i="4" s="1"/>
  <c r="E37" i="4"/>
  <c r="D37" i="4"/>
  <c r="N36" i="4"/>
  <c r="O36" i="4" s="1"/>
  <c r="D36" i="4"/>
  <c r="E36" i="4" s="1"/>
  <c r="N35" i="4"/>
  <c r="O35" i="4" s="1"/>
  <c r="I35" i="4"/>
  <c r="J35" i="4" s="1"/>
  <c r="D35" i="4"/>
  <c r="E35" i="4" s="1"/>
  <c r="N34" i="4"/>
  <c r="M34" i="4"/>
  <c r="I34" i="4"/>
  <c r="H34" i="4"/>
  <c r="E34" i="4"/>
  <c r="D34" i="4"/>
  <c r="C27" i="4"/>
  <c r="G26" i="4"/>
  <c r="D26" i="4"/>
  <c r="G25" i="4"/>
  <c r="D25" i="4"/>
  <c r="G24" i="4"/>
  <c r="D24" i="4"/>
  <c r="G23" i="4"/>
  <c r="D23" i="4"/>
  <c r="G22" i="4"/>
  <c r="D22" i="4"/>
  <c r="G21" i="4"/>
  <c r="D21" i="4"/>
  <c r="G20" i="4"/>
  <c r="D20" i="4"/>
  <c r="G19" i="4"/>
  <c r="D19" i="4"/>
  <c r="G18" i="4"/>
  <c r="D18" i="4"/>
  <c r="G17" i="4"/>
  <c r="D17" i="4"/>
  <c r="G16" i="4"/>
  <c r="D16" i="4"/>
  <c r="G15" i="4"/>
  <c r="H26" i="4" s="1"/>
  <c r="D15" i="4"/>
  <c r="H14" i="4"/>
  <c r="F7" i="4"/>
  <c r="C7" i="4"/>
  <c r="C13" i="3"/>
  <c r="D13" i="3" s="1"/>
  <c r="C12" i="3"/>
  <c r="D12" i="3" s="1"/>
  <c r="C11" i="3"/>
  <c r="E11" i="3" s="1"/>
  <c r="C10" i="3"/>
  <c r="E10" i="3" s="1"/>
  <c r="C9" i="3"/>
  <c r="D9" i="3" s="1"/>
  <c r="E8" i="3"/>
  <c r="D8" i="3"/>
  <c r="C14" i="2"/>
  <c r="C11" i="1"/>
  <c r="E10" i="2" l="1"/>
  <c r="F9" i="2"/>
  <c r="D10" i="3"/>
  <c r="E13" i="3"/>
  <c r="J34" i="4"/>
  <c r="J37" i="4" s="1"/>
  <c r="E12" i="3"/>
  <c r="H20" i="4"/>
  <c r="E25" i="4"/>
  <c r="E39" i="4"/>
  <c r="H15" i="4"/>
  <c r="H18" i="4"/>
  <c r="D11" i="3"/>
  <c r="G15" i="3" s="1"/>
  <c r="H24" i="4"/>
  <c r="H23" i="4"/>
  <c r="H22" i="4"/>
  <c r="H16" i="4"/>
  <c r="O34" i="4"/>
  <c r="O47" i="4" s="1"/>
  <c r="E14" i="4"/>
  <c r="C14" i="5"/>
  <c r="E26" i="4"/>
  <c r="C15" i="3"/>
  <c r="E16" i="4"/>
  <c r="E18" i="4"/>
  <c r="E20" i="4"/>
  <c r="E22" i="4"/>
  <c r="E24" i="4"/>
  <c r="H17" i="4"/>
  <c r="H21" i="4"/>
  <c r="H25" i="4"/>
  <c r="E9" i="3"/>
  <c r="C17" i="3"/>
  <c r="H19" i="4"/>
  <c r="E15" i="4"/>
  <c r="E17" i="4"/>
  <c r="E19" i="4"/>
  <c r="E21" i="4"/>
  <c r="E23" i="4"/>
  <c r="E11" i="2" l="1"/>
  <c r="F10" i="2"/>
  <c r="G16" i="3"/>
  <c r="G18" i="3"/>
  <c r="H27" i="4"/>
  <c r="E27" i="4"/>
  <c r="E12" i="2" l="1"/>
  <c r="F11" i="2"/>
  <c r="E13" i="2" l="1"/>
  <c r="F13" i="2" s="1"/>
  <c r="F12" i="2"/>
  <c r="F14" i="2" l="1"/>
</calcChain>
</file>

<file path=xl/sharedStrings.xml><?xml version="1.0" encoding="utf-8"?>
<sst xmlns="http://schemas.openxmlformats.org/spreadsheetml/2006/main" count="110" uniqueCount="63">
  <si>
    <t>Maschine</t>
  </si>
  <si>
    <t>Jahr 0</t>
  </si>
  <si>
    <t>Jahr 1</t>
  </si>
  <si>
    <t>Jahr 2</t>
  </si>
  <si>
    <t>Jahr 3</t>
  </si>
  <si>
    <t>Jahr 4</t>
  </si>
  <si>
    <t>Jahr 5</t>
  </si>
  <si>
    <t>Jahr 6</t>
  </si>
  <si>
    <t>IKV</t>
  </si>
  <si>
    <t>Anlagebetrag</t>
  </si>
  <si>
    <t>Jahr</t>
  </si>
  <si>
    <t>Zinssätze</t>
  </si>
  <si>
    <t>Ausgaben</t>
  </si>
  <si>
    <t>Einnahmen</t>
  </si>
  <si>
    <t>Überschuss</t>
  </si>
  <si>
    <t>Rendite</t>
  </si>
  <si>
    <t>Anschaffungskosten</t>
  </si>
  <si>
    <t>Kalkulationszinssatz</t>
  </si>
  <si>
    <t>Periodenüberschüsse</t>
  </si>
  <si>
    <t>NBW</t>
  </si>
  <si>
    <t>Zinssatz der Obligation</t>
  </si>
  <si>
    <t>(Investition)</t>
  </si>
  <si>
    <t>Wiederanlagezinssatz</t>
  </si>
  <si>
    <t>(Reinvestition)</t>
  </si>
  <si>
    <t>QIKV</t>
  </si>
  <si>
    <t>Anlage</t>
  </si>
  <si>
    <t>Wiederanlage</t>
  </si>
  <si>
    <t xml:space="preserve">Barwert der Anlage </t>
  </si>
  <si>
    <t xml:space="preserve">Endwert der Wiederanlage </t>
  </si>
  <si>
    <t xml:space="preserve">Mischzins </t>
  </si>
  <si>
    <t>Sinn</t>
  </si>
  <si>
    <t>Unsinn</t>
  </si>
  <si>
    <t>XINTZINSFUSS</t>
  </si>
  <si>
    <t>Ratenkauf</t>
  </si>
  <si>
    <t>Datum</t>
  </si>
  <si>
    <t>Werte</t>
  </si>
  <si>
    <t>Tage</t>
  </si>
  <si>
    <t>Kontrolle</t>
  </si>
  <si>
    <t>Barwert</t>
  </si>
  <si>
    <t>XKAPITALWERT</t>
  </si>
  <si>
    <t>Kapitalwert</t>
  </si>
  <si>
    <t xml:space="preserve"> (Zielwert)</t>
  </si>
  <si>
    <t>Effektivzinssatz</t>
  </si>
  <si>
    <t xml:space="preserve"> (veränderliche Zelle)</t>
  </si>
  <si>
    <t>Versicherung</t>
  </si>
  <si>
    <t>Sofort</t>
  </si>
  <si>
    <t>Raten</t>
  </si>
  <si>
    <t>Konto</t>
  </si>
  <si>
    <t>Zinssatz</t>
  </si>
  <si>
    <t>Betrag</t>
  </si>
  <si>
    <t>Skonto</t>
  </si>
  <si>
    <t>Frist (Tage)</t>
  </si>
  <si>
    <t>PangV 2002</t>
  </si>
  <si>
    <t>Handrechnung</t>
  </si>
  <si>
    <t>Abzinsung</t>
  </si>
  <si>
    <t>Falsch ist</t>
  </si>
  <si>
    <t>Diese Rechnung beginnt erst nach einem Jahr</t>
  </si>
  <si>
    <t>und ergibt den auf dieses Jahr abgezinsten Kapitalwert</t>
  </si>
  <si>
    <t>Dennoch besteht zwischen NBW und IKV der Zusammenhang</t>
  </si>
  <si>
    <t>NBW(IKV(Bezug);Bezug)=0</t>
  </si>
  <si>
    <t>da ein Barwert von 0 dies auch nach einem</t>
  </si>
  <si>
    <t>Jahr ist.</t>
  </si>
  <si>
    <t>Finanzinvestition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</si>
</sst>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_ ;\-#,##0.00\ "/>
    <numFmt numFmtId="165" formatCode="0.0000"/>
  </numFmts>
  <fonts count="6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44" fontId="3" fillId="2" borderId="2" xfId="3" applyFont="1" applyFill="1" applyBorder="1"/>
    <xf numFmtId="0" fontId="3" fillId="0" borderId="3" xfId="0" applyFont="1" applyBorder="1"/>
    <xf numFmtId="44" fontId="3" fillId="2" borderId="4" xfId="3" applyFont="1" applyFill="1" applyBorder="1"/>
    <xf numFmtId="10" fontId="3" fillId="0" borderId="4" xfId="0" applyNumberFormat="1" applyFont="1" applyBorder="1"/>
    <xf numFmtId="164" fontId="3" fillId="2" borderId="2" xfId="1" applyFont="1" applyFill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4" xfId="0" applyFont="1" applyBorder="1"/>
    <xf numFmtId="2" fontId="3" fillId="0" borderId="4" xfId="0" applyNumberFormat="1" applyFont="1" applyBorder="1"/>
    <xf numFmtId="1" fontId="3" fillId="0" borderId="3" xfId="1" applyNumberFormat="1" applyFont="1" applyBorder="1"/>
    <xf numFmtId="10" fontId="3" fillId="2" borderId="4" xfId="2" applyFont="1" applyFill="1" applyBorder="1"/>
    <xf numFmtId="164" fontId="3" fillId="0" borderId="4" xfId="1" applyFont="1" applyBorder="1"/>
    <xf numFmtId="0" fontId="2" fillId="0" borderId="1" xfId="0" applyFont="1" applyBorder="1"/>
    <xf numFmtId="0" fontId="2" fillId="0" borderId="2" xfId="0" applyFont="1" applyBorder="1"/>
    <xf numFmtId="10" fontId="2" fillId="3" borderId="2" xfId="2" applyFont="1" applyFill="1" applyBorder="1"/>
    <xf numFmtId="14" fontId="3" fillId="0" borderId="1" xfId="0" applyNumberFormat="1" applyFont="1" applyBorder="1"/>
    <xf numFmtId="10" fontId="3" fillId="2" borderId="2" xfId="0" applyNumberFormat="1" applyFont="1" applyFill="1" applyBorder="1"/>
    <xf numFmtId="14" fontId="3" fillId="0" borderId="0" xfId="0" applyNumberFormat="1" applyFont="1"/>
    <xf numFmtId="9" fontId="3" fillId="0" borderId="0" xfId="0" applyNumberFormat="1" applyFont="1"/>
    <xf numFmtId="1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3" fillId="2" borderId="3" xfId="0" applyNumberFormat="1" applyFont="1" applyFill="1" applyBorder="1"/>
    <xf numFmtId="10" fontId="3" fillId="2" borderId="4" xfId="0" applyNumberFormat="1" applyFont="1" applyFill="1" applyBorder="1"/>
    <xf numFmtId="0" fontId="3" fillId="2" borderId="4" xfId="0" applyFont="1" applyFill="1" applyBorder="1"/>
    <xf numFmtId="44" fontId="3" fillId="0" borderId="4" xfId="3" applyFont="1" applyBorder="1"/>
    <xf numFmtId="164" fontId="3" fillId="0" borderId="0" xfId="1" applyFont="1"/>
    <xf numFmtId="164" fontId="3" fillId="0" borderId="0" xfId="0" applyNumberFormat="1" applyFont="1"/>
    <xf numFmtId="10" fontId="2" fillId="0" borderId="1" xfId="2" applyFont="1" applyBorder="1"/>
    <xf numFmtId="164" fontId="2" fillId="0" borderId="2" xfId="1" applyFont="1" applyBorder="1"/>
    <xf numFmtId="10" fontId="3" fillId="0" borderId="2" xfId="2" applyFont="1" applyBorder="1"/>
    <xf numFmtId="10" fontId="3" fillId="0" borderId="0" xfId="2" applyFont="1"/>
    <xf numFmtId="14" fontId="3" fillId="0" borderId="3" xfId="0" applyNumberFormat="1" applyFont="1" applyBorder="1"/>
    <xf numFmtId="10" fontId="3" fillId="0" borderId="4" xfId="2" applyFont="1" applyBorder="1"/>
    <xf numFmtId="0" fontId="2" fillId="0" borderId="1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3" fillId="0" borderId="4" xfId="1" applyNumberFormat="1" applyFont="1" applyBorder="1"/>
    <xf numFmtId="0" fontId="3" fillId="0" borderId="4" xfId="0" applyFont="1" applyBorder="1" applyAlignment="1">
      <alignment horizontal="right"/>
    </xf>
    <xf numFmtId="2" fontId="3" fillId="0" borderId="4" xfId="1" applyNumberFormat="1" applyFont="1" applyBorder="1"/>
    <xf numFmtId="165" fontId="3" fillId="3" borderId="4" xfId="0" applyNumberFormat="1" applyFont="1" applyFill="1" applyBorder="1"/>
    <xf numFmtId="10" fontId="3" fillId="3" borderId="4" xfId="2" applyFont="1" applyFill="1" applyBorder="1"/>
    <xf numFmtId="10" fontId="3" fillId="3" borderId="2" xfId="2" applyFont="1" applyFill="1" applyBorder="1"/>
    <xf numFmtId="0" fontId="3" fillId="0" borderId="5" xfId="0" applyFont="1" applyBorder="1"/>
    <xf numFmtId="10" fontId="3" fillId="2" borderId="2" xfId="2" applyFont="1" applyFill="1" applyBorder="1"/>
    <xf numFmtId="0" fontId="3" fillId="0" borderId="6" xfId="0" applyFont="1" applyBorder="1"/>
    <xf numFmtId="0" fontId="3" fillId="0" borderId="7" xfId="0" applyFont="1" applyBorder="1"/>
    <xf numFmtId="44" fontId="3" fillId="2" borderId="5" xfId="3" applyFont="1" applyFill="1" applyBorder="1"/>
    <xf numFmtId="0" fontId="3" fillId="0" borderId="8" xfId="0" applyFont="1" applyBorder="1"/>
    <xf numFmtId="9" fontId="3" fillId="0" borderId="2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44" fontId="3" fillId="0" borderId="11" xfId="3" applyFont="1" applyBorder="1"/>
    <xf numFmtId="164" fontId="3" fillId="0" borderId="6" xfId="1" applyFont="1" applyBorder="1"/>
    <xf numFmtId="164" fontId="3" fillId="0" borderId="12" xfId="1" applyFont="1" applyBorder="1"/>
    <xf numFmtId="8" fontId="3" fillId="0" borderId="3" xfId="3" applyNumberFormat="1" applyFont="1" applyBorder="1"/>
    <xf numFmtId="10" fontId="2" fillId="0" borderId="2" xfId="2" applyFont="1" applyBorder="1"/>
    <xf numFmtId="0" fontId="2" fillId="0" borderId="5" xfId="0" applyFont="1" applyBorder="1"/>
    <xf numFmtId="0" fontId="2" fillId="0" borderId="7" xfId="0" applyFont="1" applyBorder="1"/>
    <xf numFmtId="9" fontId="3" fillId="2" borderId="4" xfId="0" applyNumberFormat="1" applyFont="1" applyFill="1" applyBorder="1"/>
    <xf numFmtId="8" fontId="3" fillId="0" borderId="0" xfId="0" applyNumberFormat="1" applyFont="1"/>
    <xf numFmtId="8" fontId="3" fillId="0" borderId="4" xfId="0" applyNumberFormat="1" applyFont="1" applyBorder="1"/>
    <xf numFmtId="44" fontId="3" fillId="0" borderId="1" xfId="0" applyNumberFormat="1" applyFont="1" applyBorder="1"/>
    <xf numFmtId="8" fontId="3" fillId="0" borderId="1" xfId="0" applyNumberFormat="1" applyFont="1" applyBorder="1"/>
    <xf numFmtId="0" fontId="5" fillId="0" borderId="0" xfId="0" applyFont="1"/>
    <xf numFmtId="0" fontId="2" fillId="0" borderId="12" xfId="0" applyFont="1" applyBorder="1" applyAlignment="1">
      <alignment horizontal="center"/>
    </xf>
    <xf numFmtId="8" fontId="2" fillId="3" borderId="2" xfId="2" applyNumberFormat="1" applyFont="1" applyFill="1" applyBorder="1"/>
  </cellXfs>
  <cellStyles count="4">
    <cellStyle name="Komma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6</xdr:col>
      <xdr:colOff>419100</xdr:colOff>
      <xdr:row>0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3771900" y="0"/>
          <a:ext cx="876300" cy="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strike="noStrike">
              <a:solidFill>
                <a:srgbClr val="FF0000"/>
              </a:solidFill>
              <a:latin typeface="Arial"/>
              <a:cs typeface="Arial"/>
            </a:rPr>
            <a:t>muß freibleiben</a:t>
          </a:r>
        </a:p>
      </xdr:txBody>
    </xdr:sp>
    <xdr:clientData/>
  </xdr:twoCellAnchor>
  <xdr:twoCellAnchor>
    <xdr:from>
      <xdr:col>4</xdr:col>
      <xdr:colOff>466725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 flipV="1">
          <a:off x="3324225" y="0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2049" name="Text 1"/>
        <xdr:cNvSpPr txBox="1">
          <a:spLocks noChangeArrowheads="1"/>
        </xdr:cNvSpPr>
      </xdr:nvSpPr>
      <xdr:spPr bwMode="auto">
        <a:xfrm>
          <a:off x="3124200" y="0"/>
          <a:ext cx="1609725" cy="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strike="noStrike">
              <a:solidFill>
                <a:srgbClr val="FF0000"/>
              </a:solidFill>
              <a:latin typeface="Arial"/>
              <a:cs typeface="Arial"/>
            </a:rPr>
            <a:t>muß freibleiben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152400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 flipV="1">
          <a:off x="2981325" y="0"/>
          <a:ext cx="152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0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de-DE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Zielwertsuche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3"/>
  <sheetViews>
    <sheetView showGridLines="0" tabSelected="1" workbookViewId="0"/>
  </sheetViews>
  <sheetFormatPr baseColWidth="10" defaultRowHeight="15" x14ac:dyDescent="0.25"/>
  <cols>
    <col min="1" max="1" width="2.7109375" style="2" customWidth="1"/>
    <col min="2" max="2" width="13.28515625" style="2" customWidth="1"/>
    <col min="3" max="3" width="11.85546875" style="2" customWidth="1"/>
    <col min="4" max="16384" width="11.42578125" style="2"/>
  </cols>
  <sheetData>
    <row r="2" spans="2:5" x14ac:dyDescent="0.25">
      <c r="B2" s="1" t="s">
        <v>0</v>
      </c>
    </row>
    <row r="4" spans="2:5" x14ac:dyDescent="0.25">
      <c r="B4" s="3" t="s">
        <v>1</v>
      </c>
      <c r="C4" s="4">
        <v>-80000</v>
      </c>
    </row>
    <row r="5" spans="2:5" x14ac:dyDescent="0.25">
      <c r="B5" s="5" t="s">
        <v>2</v>
      </c>
      <c r="C5" s="6">
        <v>15000</v>
      </c>
    </row>
    <row r="6" spans="2:5" x14ac:dyDescent="0.25">
      <c r="B6" s="5" t="s">
        <v>3</v>
      </c>
      <c r="C6" s="6">
        <v>19000</v>
      </c>
    </row>
    <row r="7" spans="2:5" x14ac:dyDescent="0.25">
      <c r="B7" s="5" t="s">
        <v>4</v>
      </c>
      <c r="C7" s="6">
        <v>25000</v>
      </c>
    </row>
    <row r="8" spans="2:5" x14ac:dyDescent="0.25">
      <c r="B8" s="5" t="s">
        <v>5</v>
      </c>
      <c r="C8" s="6">
        <v>27000</v>
      </c>
    </row>
    <row r="9" spans="2:5" x14ac:dyDescent="0.25">
      <c r="B9" s="5" t="s">
        <v>6</v>
      </c>
      <c r="C9" s="6">
        <v>17000</v>
      </c>
    </row>
    <row r="10" spans="2:5" x14ac:dyDescent="0.25">
      <c r="B10" s="5" t="s">
        <v>7</v>
      </c>
      <c r="C10" s="6">
        <v>7000</v>
      </c>
    </row>
    <row r="11" spans="2:5" x14ac:dyDescent="0.25">
      <c r="B11" s="5" t="s">
        <v>8</v>
      </c>
      <c r="C11" s="7">
        <f>IRR(C4:C10)</f>
        <v>0.10472544697722164</v>
      </c>
      <c r="E11" s="63"/>
    </row>
    <row r="13" spans="2:5" x14ac:dyDescent="0.25">
      <c r="B13" s="1" t="s">
        <v>62</v>
      </c>
    </row>
    <row r="15" spans="2:5" x14ac:dyDescent="0.25">
      <c r="B15" s="3" t="s">
        <v>9</v>
      </c>
      <c r="C15" s="8">
        <v>100</v>
      </c>
    </row>
    <row r="17" spans="2:6" x14ac:dyDescent="0.25">
      <c r="B17" s="9" t="s">
        <v>10</v>
      </c>
      <c r="C17" s="10" t="s">
        <v>11</v>
      </c>
      <c r="D17" s="10" t="s">
        <v>12</v>
      </c>
      <c r="E17" s="10" t="s">
        <v>13</v>
      </c>
      <c r="F17" s="11" t="s">
        <v>14</v>
      </c>
    </row>
    <row r="18" spans="2:6" x14ac:dyDescent="0.25">
      <c r="B18" s="5">
        <v>0</v>
      </c>
      <c r="C18" s="12"/>
      <c r="D18" s="13">
        <f>C15</f>
        <v>100</v>
      </c>
      <c r="E18" s="12"/>
      <c r="F18" s="13">
        <f t="shared" ref="F18:F21" si="0">E18-D18</f>
        <v>-100</v>
      </c>
    </row>
    <row r="19" spans="2:6" x14ac:dyDescent="0.25">
      <c r="B19" s="14">
        <v>1</v>
      </c>
      <c r="C19" s="15">
        <v>1.7500000000000002E-2</v>
      </c>
      <c r="D19" s="16"/>
      <c r="E19" s="16">
        <f>$C$15*C19</f>
        <v>1.7500000000000002</v>
      </c>
      <c r="F19" s="13">
        <f t="shared" si="0"/>
        <v>1.7500000000000002</v>
      </c>
    </row>
    <row r="20" spans="2:6" x14ac:dyDescent="0.25">
      <c r="B20" s="14">
        <v>2</v>
      </c>
      <c r="C20" s="15">
        <v>2.2499999999999999E-2</v>
      </c>
      <c r="D20" s="16"/>
      <c r="E20" s="16">
        <f t="shared" ref="E20" si="1">$C$15*C20</f>
        <v>2.25</v>
      </c>
      <c r="F20" s="13">
        <f t="shared" si="0"/>
        <v>2.25</v>
      </c>
    </row>
    <row r="21" spans="2:6" x14ac:dyDescent="0.25">
      <c r="B21" s="14">
        <v>3</v>
      </c>
      <c r="C21" s="15">
        <v>3.7999999999999999E-2</v>
      </c>
      <c r="D21" s="16"/>
      <c r="E21" s="16">
        <f>C15+ $C$15*C21</f>
        <v>103.8</v>
      </c>
      <c r="F21" s="13">
        <f t="shared" si="0"/>
        <v>103.8</v>
      </c>
    </row>
    <row r="23" spans="2:6" x14ac:dyDescent="0.25">
      <c r="D23" s="17" t="s">
        <v>15</v>
      </c>
      <c r="E23" s="18" t="s">
        <v>8</v>
      </c>
      <c r="F23" s="19">
        <f>IRR(F18:F21)</f>
        <v>2.5826159712449615E-2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showGridLines="0" workbookViewId="0"/>
  </sheetViews>
  <sheetFormatPr baseColWidth="10" defaultRowHeight="15" x14ac:dyDescent="0.25"/>
  <cols>
    <col min="1" max="1" width="3.5703125" style="2" customWidth="1"/>
    <col min="2" max="2" width="18.85546875" style="2" customWidth="1"/>
    <col min="3" max="3" width="11.85546875" style="2" customWidth="1"/>
    <col min="4" max="4" width="11.42578125" style="2"/>
    <col min="5" max="6" width="12" style="2" bestFit="1" customWidth="1"/>
    <col min="7" max="7" width="13.85546875" style="2" bestFit="1" customWidth="1"/>
    <col min="8" max="8" width="11.42578125" style="2"/>
    <col min="9" max="9" width="12" style="2" bestFit="1" customWidth="1"/>
    <col min="10" max="16384" width="11.42578125" style="2"/>
  </cols>
  <sheetData>
    <row r="2" spans="2:9" x14ac:dyDescent="0.25">
      <c r="B2" s="1" t="s">
        <v>0</v>
      </c>
    </row>
    <row r="4" spans="2:9" x14ac:dyDescent="0.25">
      <c r="B4" s="3" t="s">
        <v>16</v>
      </c>
      <c r="C4" s="4">
        <v>80000</v>
      </c>
    </row>
    <row r="5" spans="2:9" x14ac:dyDescent="0.25">
      <c r="B5" s="5" t="s">
        <v>17</v>
      </c>
      <c r="C5" s="62">
        <v>0.1</v>
      </c>
    </row>
    <row r="6" spans="2:9" x14ac:dyDescent="0.25">
      <c r="E6" s="2" t="s">
        <v>53</v>
      </c>
      <c r="H6" s="67" t="s">
        <v>55</v>
      </c>
    </row>
    <row r="7" spans="2:9" x14ac:dyDescent="0.25">
      <c r="B7" s="2" t="s">
        <v>18</v>
      </c>
      <c r="E7" s="3" t="s">
        <v>54</v>
      </c>
      <c r="F7" s="3" t="s">
        <v>38</v>
      </c>
      <c r="H7" s="3" t="s">
        <v>1</v>
      </c>
      <c r="I7" s="65">
        <f>-C4</f>
        <v>-80000</v>
      </c>
    </row>
    <row r="8" spans="2:9" x14ac:dyDescent="0.25">
      <c r="B8" s="3" t="s">
        <v>2</v>
      </c>
      <c r="C8" s="4">
        <v>15000</v>
      </c>
      <c r="E8" s="3">
        <f>(1+$C$5)</f>
        <v>1.1000000000000001</v>
      </c>
      <c r="F8" s="65">
        <f t="shared" ref="F8:F13" si="0">C8/E8</f>
        <v>13636.363636363636</v>
      </c>
      <c r="H8" s="3" t="s">
        <v>2</v>
      </c>
      <c r="I8" s="65">
        <f>C8</f>
        <v>15000</v>
      </c>
    </row>
    <row r="9" spans="2:9" x14ac:dyDescent="0.25">
      <c r="B9" s="5" t="s">
        <v>3</v>
      </c>
      <c r="C9" s="6">
        <v>19000</v>
      </c>
      <c r="E9" s="3">
        <f>(1+$C$5)*E8</f>
        <v>1.2100000000000002</v>
      </c>
      <c r="F9" s="65">
        <f t="shared" si="0"/>
        <v>15702.479338842973</v>
      </c>
      <c r="H9" s="3" t="s">
        <v>3</v>
      </c>
      <c r="I9" s="65">
        <f t="shared" ref="I9:I13" si="1">C9</f>
        <v>19000</v>
      </c>
    </row>
    <row r="10" spans="2:9" x14ac:dyDescent="0.25">
      <c r="B10" s="5" t="s">
        <v>4</v>
      </c>
      <c r="C10" s="6">
        <v>25000</v>
      </c>
      <c r="E10" s="3">
        <f t="shared" ref="E10:E13" si="2">(1+$C$5)*E9</f>
        <v>1.3310000000000004</v>
      </c>
      <c r="F10" s="65">
        <f t="shared" si="0"/>
        <v>18782.870022539439</v>
      </c>
      <c r="H10" s="3" t="s">
        <v>4</v>
      </c>
      <c r="I10" s="65">
        <f t="shared" si="1"/>
        <v>25000</v>
      </c>
    </row>
    <row r="11" spans="2:9" x14ac:dyDescent="0.25">
      <c r="B11" s="5" t="s">
        <v>5</v>
      </c>
      <c r="C11" s="6">
        <v>27000</v>
      </c>
      <c r="E11" s="3">
        <f t="shared" si="2"/>
        <v>1.4641000000000006</v>
      </c>
      <c r="F11" s="65">
        <f t="shared" si="0"/>
        <v>18441.363294856899</v>
      </c>
      <c r="H11" s="3" t="s">
        <v>5</v>
      </c>
      <c r="I11" s="65">
        <f t="shared" si="1"/>
        <v>27000</v>
      </c>
    </row>
    <row r="12" spans="2:9" x14ac:dyDescent="0.25">
      <c r="B12" s="5" t="s">
        <v>6</v>
      </c>
      <c r="C12" s="6">
        <v>17000</v>
      </c>
      <c r="E12" s="3">
        <f t="shared" si="2"/>
        <v>1.6105100000000008</v>
      </c>
      <c r="F12" s="65">
        <f t="shared" si="0"/>
        <v>10555.662492005633</v>
      </c>
      <c r="H12" s="3" t="s">
        <v>6</v>
      </c>
      <c r="I12" s="65">
        <f t="shared" si="1"/>
        <v>17000</v>
      </c>
    </row>
    <row r="13" spans="2:9" x14ac:dyDescent="0.25">
      <c r="B13" s="5" t="s">
        <v>7</v>
      </c>
      <c r="C13" s="6">
        <v>7000</v>
      </c>
      <c r="E13" s="3">
        <f t="shared" si="2"/>
        <v>1.7715610000000011</v>
      </c>
      <c r="F13" s="65">
        <f t="shared" si="0"/>
        <v>3951.3175103764397</v>
      </c>
      <c r="H13" s="3" t="s">
        <v>7</v>
      </c>
      <c r="I13" s="65">
        <f t="shared" si="1"/>
        <v>7000</v>
      </c>
    </row>
    <row r="14" spans="2:9" x14ac:dyDescent="0.25">
      <c r="B14" s="5" t="s">
        <v>19</v>
      </c>
      <c r="C14" s="64">
        <f>NPV(C5,C8:C13)</f>
        <v>81070.056294985028</v>
      </c>
      <c r="E14" s="3" t="s">
        <v>19</v>
      </c>
      <c r="F14" s="65">
        <f>SUM(F8:F13)</f>
        <v>81070.056294985014</v>
      </c>
      <c r="H14" s="3" t="s">
        <v>19</v>
      </c>
      <c r="I14" s="66">
        <f>NPV(C5,I7:I13)</f>
        <v>972.77844998638011</v>
      </c>
    </row>
    <row r="15" spans="2:9" x14ac:dyDescent="0.25">
      <c r="B15" s="3" t="s">
        <v>40</v>
      </c>
      <c r="C15" s="66">
        <f>C14-C4</f>
        <v>1070.0562949850282</v>
      </c>
      <c r="H15" s="67" t="s">
        <v>56</v>
      </c>
    </row>
    <row r="16" spans="2:9" x14ac:dyDescent="0.25">
      <c r="H16" s="67" t="s">
        <v>57</v>
      </c>
    </row>
    <row r="17" spans="2:9" x14ac:dyDescent="0.25">
      <c r="I17" s="66">
        <f>C15/(1+C5)</f>
        <v>972.77844998638921</v>
      </c>
    </row>
    <row r="19" spans="2:9" x14ac:dyDescent="0.25">
      <c r="H19" s="2" t="s">
        <v>58</v>
      </c>
    </row>
    <row r="20" spans="2:9" x14ac:dyDescent="0.25">
      <c r="H20" s="2" t="s">
        <v>59</v>
      </c>
    </row>
    <row r="21" spans="2:9" x14ac:dyDescent="0.25">
      <c r="H21" s="2" t="s">
        <v>60</v>
      </c>
    </row>
    <row r="22" spans="2:9" x14ac:dyDescent="0.25">
      <c r="H22" s="2" t="s">
        <v>61</v>
      </c>
    </row>
    <row r="26" spans="2:9" x14ac:dyDescent="0.25">
      <c r="B26" s="1" t="s">
        <v>62</v>
      </c>
    </row>
    <row r="28" spans="2:9" x14ac:dyDescent="0.25">
      <c r="B28" s="3" t="s">
        <v>9</v>
      </c>
      <c r="C28" s="8">
        <v>100</v>
      </c>
    </row>
    <row r="30" spans="2:9" x14ac:dyDescent="0.25">
      <c r="B30" s="9" t="s">
        <v>10</v>
      </c>
      <c r="C30" s="10" t="s">
        <v>11</v>
      </c>
      <c r="D30" s="10" t="s">
        <v>12</v>
      </c>
      <c r="E30" s="10" t="s">
        <v>13</v>
      </c>
      <c r="F30" s="11" t="s">
        <v>14</v>
      </c>
    </row>
    <row r="31" spans="2:9" x14ac:dyDescent="0.25">
      <c r="B31" s="5">
        <v>0</v>
      </c>
      <c r="C31" s="12"/>
      <c r="D31" s="13">
        <f>C28</f>
        <v>100</v>
      </c>
      <c r="E31" s="12"/>
      <c r="F31" s="13">
        <f t="shared" ref="F31:F34" si="3">E31-D31</f>
        <v>-100</v>
      </c>
    </row>
    <row r="32" spans="2:9" x14ac:dyDescent="0.25">
      <c r="B32" s="14">
        <v>1</v>
      </c>
      <c r="C32" s="15">
        <v>1.7500000000000002E-2</v>
      </c>
      <c r="D32" s="16"/>
      <c r="E32" s="16">
        <f>$C$28*C32</f>
        <v>1.7500000000000002</v>
      </c>
      <c r="F32" s="13">
        <f t="shared" si="3"/>
        <v>1.7500000000000002</v>
      </c>
    </row>
    <row r="33" spans="2:6" x14ac:dyDescent="0.25">
      <c r="B33" s="14">
        <v>2</v>
      </c>
      <c r="C33" s="15">
        <v>2.2499999999999999E-2</v>
      </c>
      <c r="D33" s="16"/>
      <c r="E33" s="16">
        <f t="shared" ref="E33:E34" si="4">$C$28*C33</f>
        <v>2.25</v>
      </c>
      <c r="F33" s="13">
        <f t="shared" si="3"/>
        <v>2.25</v>
      </c>
    </row>
    <row r="34" spans="2:6" x14ac:dyDescent="0.25">
      <c r="B34" s="14">
        <v>3</v>
      </c>
      <c r="C34" s="15">
        <v>3.7999999999999999E-2</v>
      </c>
      <c r="D34" s="16"/>
      <c r="E34" s="16">
        <f>C28+$C$28*C34</f>
        <v>103.8</v>
      </c>
      <c r="F34" s="13">
        <f t="shared" si="3"/>
        <v>103.8</v>
      </c>
    </row>
    <row r="36" spans="2:6" x14ac:dyDescent="0.25">
      <c r="D36" s="17"/>
      <c r="E36" s="18" t="s">
        <v>19</v>
      </c>
      <c r="F36" s="69">
        <f>NPV(2.5%,F32:F34)</f>
        <v>100.23751831807435</v>
      </c>
    </row>
  </sheetData>
  <phoneticPr fontId="0" type="noConversion"/>
  <pageMargins left="0.79" right="0.79" top="0.98" bottom="0.98" header="0.49" footer="0.4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G18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23" style="2" customWidth="1"/>
    <col min="3" max="3" width="14.42578125" style="2" customWidth="1"/>
    <col min="4" max="4" width="10.85546875" style="2" customWidth="1"/>
    <col min="5" max="5" width="13.5703125" style="2" customWidth="1"/>
    <col min="6" max="6" width="12.5703125" style="2" customWidth="1"/>
    <col min="7" max="7" width="11.42578125" style="2"/>
    <col min="8" max="8" width="2.7109375" style="2" customWidth="1"/>
    <col min="9" max="16384" width="11.42578125" style="2"/>
  </cols>
  <sheetData>
    <row r="2" spans="2:7" x14ac:dyDescent="0.25">
      <c r="B2" s="46" t="s">
        <v>20</v>
      </c>
      <c r="C2" s="3" t="s">
        <v>21</v>
      </c>
      <c r="D2" s="47">
        <v>4.2500000000000003E-2</v>
      </c>
    </row>
    <row r="3" spans="2:7" x14ac:dyDescent="0.25">
      <c r="B3" s="48" t="s">
        <v>22</v>
      </c>
      <c r="C3" s="5" t="s">
        <v>23</v>
      </c>
      <c r="D3" s="15">
        <v>0.02</v>
      </c>
    </row>
    <row r="4" spans="2:7" x14ac:dyDescent="0.25">
      <c r="E4" s="23"/>
    </row>
    <row r="5" spans="2:7" x14ac:dyDescent="0.25">
      <c r="B5" s="46" t="s">
        <v>9</v>
      </c>
      <c r="C5" s="49"/>
      <c r="D5" s="50">
        <v>100</v>
      </c>
      <c r="E5" s="51"/>
    </row>
    <row r="6" spans="2:7" x14ac:dyDescent="0.25">
      <c r="E6" s="23"/>
    </row>
    <row r="7" spans="2:7" x14ac:dyDescent="0.25">
      <c r="B7" s="9" t="s">
        <v>10</v>
      </c>
      <c r="C7" s="10" t="s">
        <v>24</v>
      </c>
      <c r="D7" s="10" t="s">
        <v>25</v>
      </c>
      <c r="E7" s="52" t="s">
        <v>26</v>
      </c>
    </row>
    <row r="8" spans="2:7" x14ac:dyDescent="0.25">
      <c r="B8" s="5">
        <v>0</v>
      </c>
      <c r="C8" s="29">
        <v>-100</v>
      </c>
      <c r="D8" s="29">
        <f t="shared" ref="D8:D13" si="0">IF(C8&lt;0,C8,0)</f>
        <v>-100</v>
      </c>
      <c r="E8" s="29">
        <f t="shared" ref="E8:E13" si="1">IF(C8&gt;0,C8,0)</f>
        <v>0</v>
      </c>
    </row>
    <row r="9" spans="2:7" x14ac:dyDescent="0.25">
      <c r="B9" s="5">
        <v>1</v>
      </c>
      <c r="C9" s="29">
        <f>$D$5*$D$2</f>
        <v>4.25</v>
      </c>
      <c r="D9" s="29">
        <f t="shared" si="0"/>
        <v>0</v>
      </c>
      <c r="E9" s="29">
        <f t="shared" si="1"/>
        <v>4.25</v>
      </c>
    </row>
    <row r="10" spans="2:7" x14ac:dyDescent="0.25">
      <c r="B10" s="5">
        <v>2</v>
      </c>
      <c r="C10" s="29">
        <f>$D$5*$D$2</f>
        <v>4.25</v>
      </c>
      <c r="D10" s="29">
        <f t="shared" si="0"/>
        <v>0</v>
      </c>
      <c r="E10" s="29">
        <f t="shared" si="1"/>
        <v>4.25</v>
      </c>
    </row>
    <row r="11" spans="2:7" x14ac:dyDescent="0.25">
      <c r="B11" s="5">
        <v>3</v>
      </c>
      <c r="C11" s="29">
        <f>$D$5*$D$2</f>
        <v>4.25</v>
      </c>
      <c r="D11" s="29">
        <f t="shared" si="0"/>
        <v>0</v>
      </c>
      <c r="E11" s="29">
        <f t="shared" si="1"/>
        <v>4.25</v>
      </c>
    </row>
    <row r="12" spans="2:7" x14ac:dyDescent="0.25">
      <c r="B12" s="5">
        <v>4</v>
      </c>
      <c r="C12" s="29">
        <f>$D$5*$D$2</f>
        <v>4.25</v>
      </c>
      <c r="D12" s="29">
        <f t="shared" si="0"/>
        <v>0</v>
      </c>
      <c r="E12" s="29">
        <f t="shared" si="1"/>
        <v>4.25</v>
      </c>
    </row>
    <row r="13" spans="2:7" x14ac:dyDescent="0.25">
      <c r="B13" s="5">
        <v>5</v>
      </c>
      <c r="C13" s="29">
        <f>D5+D5*D2</f>
        <v>104.25</v>
      </c>
      <c r="D13" s="29">
        <f t="shared" si="0"/>
        <v>0</v>
      </c>
      <c r="E13" s="29">
        <f t="shared" si="1"/>
        <v>104.25</v>
      </c>
    </row>
    <row r="15" spans="2:7" x14ac:dyDescent="0.25">
      <c r="B15" s="3" t="s">
        <v>8</v>
      </c>
      <c r="C15" s="34">
        <f>IRR(C8:C13)</f>
        <v>4.2500000000123439E-2</v>
      </c>
      <c r="E15" s="53" t="s">
        <v>27</v>
      </c>
      <c r="F15" s="54"/>
      <c r="G15" s="55">
        <f>-NPV(D2,D9:D13)+D8</f>
        <v>-100</v>
      </c>
    </row>
    <row r="16" spans="2:7" x14ac:dyDescent="0.25">
      <c r="E16" s="56" t="s">
        <v>28</v>
      </c>
      <c r="F16" s="57"/>
      <c r="G16" s="58">
        <f>FV(D3,B13,0,-NPV(D3,E9:E13))</f>
        <v>122.11717068</v>
      </c>
    </row>
    <row r="17" spans="2:7" x14ac:dyDescent="0.25">
      <c r="B17" s="17" t="s">
        <v>24</v>
      </c>
      <c r="C17" s="59">
        <f>MIRR(C8:C13,D2,D3)</f>
        <v>4.0771393416128676E-2</v>
      </c>
    </row>
    <row r="18" spans="2:7" x14ac:dyDescent="0.25">
      <c r="E18" s="60" t="s">
        <v>29</v>
      </c>
      <c r="F18" s="61"/>
      <c r="G18" s="32">
        <f>RATE(B13,,G15,G16)</f>
        <v>4.0771393416279451E-2</v>
      </c>
    </row>
  </sheetData>
  <phoneticPr fontId="0" type="noConversion"/>
  <pageMargins left="0.79" right="0.79" top="0.98" bottom="0.98" header="0.49" footer="0.49"/>
  <pageSetup paperSize="9" orientation="portrait" horizontalDpi="4294967295" verticalDpi="0" copies="0"/>
  <headerFooter alignWithMargins="0">
    <oddHeader>&amp;L&amp;F, &amp;A&amp;RSeite &amp;P</oddHeader>
    <oddFooter>&amp;LCopyRight Dr. Eckehard Pfeifer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O47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13.7109375" style="2" customWidth="1"/>
    <col min="3" max="3" width="11.42578125" style="2"/>
    <col min="4" max="4" width="15" style="2" customWidth="1"/>
    <col min="5" max="5" width="13.7109375" style="2" customWidth="1"/>
    <col min="6" max="6" width="6.85546875" style="2" customWidth="1"/>
    <col min="7" max="7" width="13.85546875" style="2" customWidth="1"/>
    <col min="8" max="8" width="11.42578125" style="2"/>
    <col min="9" max="9" width="13.85546875" style="2" customWidth="1"/>
    <col min="10" max="10" width="11.42578125" style="2"/>
    <col min="11" max="11" width="2.7109375" style="2" customWidth="1"/>
    <col min="12" max="13" width="11.42578125" style="2"/>
    <col min="14" max="14" width="13.7109375" style="2" customWidth="1"/>
    <col min="15" max="16384" width="11.42578125" style="2"/>
  </cols>
  <sheetData>
    <row r="2" spans="2:8" x14ac:dyDescent="0.25">
      <c r="B2" s="1" t="s">
        <v>30</v>
      </c>
      <c r="E2" s="1" t="s">
        <v>31</v>
      </c>
    </row>
    <row r="3" spans="2:8" x14ac:dyDescent="0.25">
      <c r="B3" s="20">
        <v>41275</v>
      </c>
      <c r="C3" s="11">
        <v>-33</v>
      </c>
      <c r="E3" s="20">
        <v>41275</v>
      </c>
      <c r="F3" s="11">
        <v>-100</v>
      </c>
    </row>
    <row r="4" spans="2:8" x14ac:dyDescent="0.25">
      <c r="B4" s="36">
        <v>41334</v>
      </c>
      <c r="C4" s="12">
        <v>-33</v>
      </c>
      <c r="E4" s="36">
        <v>41334</v>
      </c>
      <c r="F4" s="12">
        <v>33</v>
      </c>
    </row>
    <row r="5" spans="2:8" x14ac:dyDescent="0.25">
      <c r="B5" s="36">
        <v>41365</v>
      </c>
      <c r="C5" s="12">
        <v>-33</v>
      </c>
      <c r="E5" s="36">
        <v>41365</v>
      </c>
      <c r="F5" s="12">
        <v>33</v>
      </c>
    </row>
    <row r="6" spans="2:8" x14ac:dyDescent="0.25">
      <c r="B6" s="36">
        <v>41426</v>
      </c>
      <c r="C6" s="12">
        <v>100</v>
      </c>
      <c r="E6" s="36">
        <v>41426</v>
      </c>
      <c r="F6" s="12">
        <v>33</v>
      </c>
    </row>
    <row r="7" spans="2:8" x14ac:dyDescent="0.25">
      <c r="B7" s="5" t="s">
        <v>32</v>
      </c>
      <c r="C7" s="37">
        <f>XIRR(C3:C6,B3:B6)</f>
        <v>3.6838707327842724E-2</v>
      </c>
      <c r="E7" s="5" t="s">
        <v>32</v>
      </c>
      <c r="F7" s="37">
        <f>XIRR(F3:F6,E3:E6)</f>
        <v>-3.5993102192878726E-2</v>
      </c>
    </row>
    <row r="11" spans="2:8" x14ac:dyDescent="0.25">
      <c r="B11" s="1" t="s">
        <v>33</v>
      </c>
    </row>
    <row r="12" spans="2:8" x14ac:dyDescent="0.25">
      <c r="G12" s="68" t="s">
        <v>52</v>
      </c>
      <c r="H12" s="68"/>
    </row>
    <row r="13" spans="2:8" x14ac:dyDescent="0.25">
      <c r="B13" s="38" t="s">
        <v>34</v>
      </c>
      <c r="C13" s="39" t="s">
        <v>35</v>
      </c>
      <c r="D13" s="25" t="s">
        <v>36</v>
      </c>
      <c r="E13" s="25" t="s">
        <v>37</v>
      </c>
      <c r="G13" s="17" t="s">
        <v>36</v>
      </c>
      <c r="H13" s="18" t="s">
        <v>38</v>
      </c>
    </row>
    <row r="14" spans="2:8" x14ac:dyDescent="0.25">
      <c r="B14" s="36">
        <v>41274</v>
      </c>
      <c r="C14" s="13">
        <v>599</v>
      </c>
      <c r="D14" s="12"/>
      <c r="E14" s="13">
        <f>C14/(1+$C$27)^(SUM(D14:$D$14)/365)</f>
        <v>599</v>
      </c>
      <c r="G14" s="5">
        <v>0</v>
      </c>
      <c r="H14" s="13">
        <f>C14/(1+$H$28)^(SUM($G$14:G14)/365)</f>
        <v>599</v>
      </c>
    </row>
    <row r="15" spans="2:8" x14ac:dyDescent="0.25">
      <c r="B15" s="36">
        <v>41305</v>
      </c>
      <c r="C15" s="12">
        <v>-52.48</v>
      </c>
      <c r="D15" s="40">
        <f t="shared" ref="D15:D26" si="0">B15-B14</f>
        <v>31</v>
      </c>
      <c r="E15" s="13">
        <f>C15/(1+$C$27)^(SUM(D$14:$D15)/365)</f>
        <v>-52.064922415708075</v>
      </c>
      <c r="G15" s="5">
        <f t="shared" ref="G15:G26" si="1">365/12</f>
        <v>30.416666666666668</v>
      </c>
      <c r="H15" s="13">
        <f>C15/(1+$H$28)^(SUM($G$14:G15)/365)</f>
        <v>-52.074364002166057</v>
      </c>
    </row>
    <row r="16" spans="2:8" x14ac:dyDescent="0.25">
      <c r="B16" s="36">
        <v>41333</v>
      </c>
      <c r="C16" s="12">
        <v>-52.48</v>
      </c>
      <c r="D16" s="40">
        <f t="shared" si="0"/>
        <v>28</v>
      </c>
      <c r="E16" s="13">
        <f>C16/(1+$C$27)^(SUM(D$14:$D16)/365)</f>
        <v>-51.692836119986964</v>
      </c>
      <c r="G16" s="5">
        <f t="shared" si="1"/>
        <v>30.416666666666668</v>
      </c>
      <c r="H16" s="13">
        <f>C16/(1+$H$28)^(SUM($G$14:G16)/365)</f>
        <v>-51.671863304689197</v>
      </c>
    </row>
    <row r="17" spans="2:9" x14ac:dyDescent="0.25">
      <c r="B17" s="36">
        <v>41364</v>
      </c>
      <c r="C17" s="12">
        <v>-52.48</v>
      </c>
      <c r="D17" s="40">
        <f t="shared" si="0"/>
        <v>31</v>
      </c>
      <c r="E17" s="13">
        <f>C17/(1+$C$27)^(SUM(D$14:$D17)/365)</f>
        <v>-51.283984413777318</v>
      </c>
      <c r="G17" s="5">
        <f t="shared" si="1"/>
        <v>30.416666666666668</v>
      </c>
      <c r="H17" s="13">
        <f>C17/(1+$H$28)^(SUM($G$14:G17)/365)</f>
        <v>-51.272473673752906</v>
      </c>
    </row>
    <row r="18" spans="2:9" x14ac:dyDescent="0.25">
      <c r="B18" s="36">
        <v>41394</v>
      </c>
      <c r="C18" s="12">
        <v>-52.48</v>
      </c>
      <c r="D18" s="40">
        <f t="shared" si="0"/>
        <v>30</v>
      </c>
      <c r="E18" s="13">
        <f>C18/(1+$C$27)^(SUM(D$14:$D18)/365)</f>
        <v>-50.891400658712854</v>
      </c>
      <c r="G18" s="5">
        <f t="shared" si="1"/>
        <v>30.416666666666668</v>
      </c>
      <c r="H18" s="13">
        <f>C18/(1+$H$28)^(SUM($G$14:G18)/365)</f>
        <v>-50.876171062852244</v>
      </c>
    </row>
    <row r="19" spans="2:9" x14ac:dyDescent="0.25">
      <c r="B19" s="36">
        <v>41425</v>
      </c>
      <c r="C19" s="12">
        <v>-52.48</v>
      </c>
      <c r="D19" s="40">
        <f t="shared" si="0"/>
        <v>31</v>
      </c>
      <c r="E19" s="13">
        <f>C19/(1+$C$27)^(SUM(D$14:$D19)/365)</f>
        <v>-50.4888877081288</v>
      </c>
      <c r="G19" s="5">
        <f t="shared" si="1"/>
        <v>30.416666666666668</v>
      </c>
      <c r="H19" s="13">
        <f>C19/(1+$H$28)^(SUM($G$14:G19)/365)</f>
        <v>-50.482931611345947</v>
      </c>
    </row>
    <row r="20" spans="2:9" x14ac:dyDescent="0.25">
      <c r="B20" s="36">
        <v>41455</v>
      </c>
      <c r="C20" s="12">
        <v>-52.48</v>
      </c>
      <c r="D20" s="40">
        <f t="shared" si="0"/>
        <v>30</v>
      </c>
      <c r="E20" s="13">
        <f>C20/(1+$C$27)^(SUM(D$14:$D20)/365)</f>
        <v>-50.102390493607373</v>
      </c>
      <c r="G20" s="5">
        <f t="shared" si="1"/>
        <v>30.416666666666668</v>
      </c>
      <c r="H20" s="13">
        <f>C20/(1+$H$28)^(SUM($G$14:G20)/365)</f>
        <v>-50.09273164301991</v>
      </c>
    </row>
    <row r="21" spans="2:9" x14ac:dyDescent="0.25">
      <c r="B21" s="36">
        <v>41486</v>
      </c>
      <c r="C21" s="12">
        <v>-52.48</v>
      </c>
      <c r="D21" s="40">
        <f t="shared" si="0"/>
        <v>31</v>
      </c>
      <c r="E21" s="13">
        <f>C21/(1+$C$27)^(SUM(D$14:$D21)/365)</f>
        <v>-49.706118023841043</v>
      </c>
      <c r="G21" s="5">
        <f t="shared" si="1"/>
        <v>30.416666666666668</v>
      </c>
      <c r="H21" s="13">
        <f>C21/(1+$H$28)^(SUM($G$14:G21)/365)</f>
        <v>-49.705547664661609</v>
      </c>
    </row>
    <row r="22" spans="2:9" x14ac:dyDescent="0.25">
      <c r="B22" s="36">
        <v>41517</v>
      </c>
      <c r="C22" s="12">
        <v>-52.48</v>
      </c>
      <c r="D22" s="40">
        <f t="shared" si="0"/>
        <v>31</v>
      </c>
      <c r="E22" s="13">
        <f>C22/(1+$C$27)^(SUM(D$14:$D22)/365)</f>
        <v>-49.312979773195742</v>
      </c>
      <c r="G22" s="5">
        <f t="shared" si="1"/>
        <v>30.416666666666668</v>
      </c>
      <c r="H22" s="13">
        <f>C22/(1+$H$28)^(SUM($G$14:G22)/365)</f>
        <v>-49.321356364645645</v>
      </c>
    </row>
    <row r="23" spans="2:9" x14ac:dyDescent="0.25">
      <c r="B23" s="36">
        <v>41547</v>
      </c>
      <c r="C23" s="12">
        <v>-52.48</v>
      </c>
      <c r="D23" s="40">
        <f t="shared" si="0"/>
        <v>30</v>
      </c>
      <c r="E23" s="13">
        <f>C23/(1+$C$27)^(SUM(D$14:$D23)/365)</f>
        <v>-48.93548424522389</v>
      </c>
      <c r="G23" s="5">
        <f t="shared" si="1"/>
        <v>30.416666666666668</v>
      </c>
      <c r="H23" s="13">
        <f>C23/(1+$H$28)^(SUM($G$14:G23)/365)</f>
        <v>-48.940134611530247</v>
      </c>
    </row>
    <row r="24" spans="2:9" x14ac:dyDescent="0.25">
      <c r="B24" s="36">
        <v>41578</v>
      </c>
      <c r="C24" s="12">
        <v>-52.48</v>
      </c>
      <c r="D24" s="40">
        <f t="shared" si="0"/>
        <v>31</v>
      </c>
      <c r="E24" s="13">
        <f>C24/(1+$C$27)^(SUM(D$14:$D24)/365)</f>
        <v>-48.548441131910955</v>
      </c>
      <c r="G24" s="5">
        <f t="shared" si="1"/>
        <v>30.416666666666668</v>
      </c>
      <c r="H24" s="13">
        <f>C24/(1+$H$28)^(SUM($G$14:G24)/365)</f>
        <v>-48.561859452664486</v>
      </c>
    </row>
    <row r="25" spans="2:9" x14ac:dyDescent="0.25">
      <c r="B25" s="36">
        <v>41608</v>
      </c>
      <c r="C25" s="12">
        <v>-52.48</v>
      </c>
      <c r="D25" s="40">
        <f t="shared" si="0"/>
        <v>30</v>
      </c>
      <c r="E25" s="13">
        <f>C25/(1+$C$27)^(SUM(D$14:$D25)/365)</f>
        <v>-48.176798219606894</v>
      </c>
      <c r="G25" s="5">
        <f t="shared" si="1"/>
        <v>30.416666666666668</v>
      </c>
      <c r="H25" s="13">
        <f>C25/(1+$H$28)^(SUM($G$14:G25)/365)</f>
        <v>-48.186508112806386</v>
      </c>
    </row>
    <row r="26" spans="2:9" x14ac:dyDescent="0.25">
      <c r="B26" s="36">
        <v>41639</v>
      </c>
      <c r="C26" s="12">
        <v>-52.48</v>
      </c>
      <c r="D26" s="40">
        <f t="shared" si="0"/>
        <v>31</v>
      </c>
      <c r="E26" s="13">
        <f>C26/(1+$C$27)^(SUM(D$14:$D26)/365)</f>
        <v>-47.795755745828053</v>
      </c>
      <c r="G26" s="5">
        <f t="shared" si="1"/>
        <v>30.416666666666668</v>
      </c>
      <c r="H26" s="13">
        <f>C26/(1+$H$28)^(SUM($G$14:G26)/365)</f>
        <v>-47.814057992751678</v>
      </c>
    </row>
    <row r="27" spans="2:9" x14ac:dyDescent="0.25">
      <c r="B27" s="5" t="s">
        <v>32</v>
      </c>
      <c r="C27" s="37">
        <f>XIRR(C14:C26,B14:B26)</f>
        <v>9.8005443811416654E-2</v>
      </c>
      <c r="D27" s="41" t="s">
        <v>39</v>
      </c>
      <c r="E27" s="42">
        <f>SUM(E14:E26)</f>
        <v>1.0504720862059003E-6</v>
      </c>
      <c r="G27" s="5" t="s">
        <v>40</v>
      </c>
      <c r="H27" s="43">
        <f>SUM(H14:H26)</f>
        <v>5.0311375332512398E-7</v>
      </c>
      <c r="I27" s="2" t="s">
        <v>41</v>
      </c>
    </row>
    <row r="28" spans="2:9" x14ac:dyDescent="0.25">
      <c r="G28" s="5" t="s">
        <v>42</v>
      </c>
      <c r="H28" s="44">
        <v>9.7585149705462088E-2</v>
      </c>
      <c r="I28" s="2" t="s">
        <v>43</v>
      </c>
    </row>
    <row r="31" spans="2:9" x14ac:dyDescent="0.25">
      <c r="B31" s="1" t="s">
        <v>44</v>
      </c>
    </row>
    <row r="33" spans="2:15" x14ac:dyDescent="0.25">
      <c r="B33" s="3"/>
      <c r="C33" s="25" t="s">
        <v>45</v>
      </c>
      <c r="D33" s="25" t="s">
        <v>46</v>
      </c>
      <c r="E33" s="25" t="s">
        <v>47</v>
      </c>
      <c r="G33" s="3"/>
      <c r="H33" s="25" t="s">
        <v>45</v>
      </c>
      <c r="I33" s="25" t="s">
        <v>46</v>
      </c>
      <c r="J33" s="25" t="s">
        <v>47</v>
      </c>
      <c r="L33" s="3"/>
      <c r="M33" s="25" t="s">
        <v>45</v>
      </c>
      <c r="N33" s="25" t="s">
        <v>46</v>
      </c>
      <c r="O33" s="25" t="s">
        <v>47</v>
      </c>
    </row>
    <row r="34" spans="2:15" x14ac:dyDescent="0.25">
      <c r="B34" s="26">
        <v>40179</v>
      </c>
      <c r="C34" s="6">
        <v>-1000</v>
      </c>
      <c r="D34" s="29">
        <f>$C$34/4*1.05</f>
        <v>-262.5</v>
      </c>
      <c r="E34" s="29">
        <f>-C34+D34</f>
        <v>737.5</v>
      </c>
      <c r="G34" s="26">
        <v>41275</v>
      </c>
      <c r="H34" s="29">
        <f>C34</f>
        <v>-1000</v>
      </c>
      <c r="I34" s="29">
        <f>$C$34/2*1.03</f>
        <v>-515</v>
      </c>
      <c r="J34" s="29">
        <f>-H34+I34</f>
        <v>485</v>
      </c>
      <c r="L34" s="26">
        <v>41275</v>
      </c>
      <c r="M34" s="29">
        <f>C34</f>
        <v>-1000</v>
      </c>
      <c r="N34" s="29">
        <f t="shared" ref="N34:N45" si="2">$C$34/12*1.08</f>
        <v>-90</v>
      </c>
      <c r="O34" s="29">
        <f t="shared" ref="O34:O45" si="3">-M34+N34</f>
        <v>910</v>
      </c>
    </row>
    <row r="35" spans="2:15" x14ac:dyDescent="0.25">
      <c r="B35" s="26">
        <v>41365</v>
      </c>
      <c r="C35" s="29"/>
      <c r="D35" s="29">
        <f>$C$34/4*1.05</f>
        <v>-262.5</v>
      </c>
      <c r="E35" s="29">
        <f>-C35+D35</f>
        <v>-262.5</v>
      </c>
      <c r="G35" s="26">
        <v>41456</v>
      </c>
      <c r="H35" s="29"/>
      <c r="I35" s="29">
        <f>$C$34/2*1.03</f>
        <v>-515</v>
      </c>
      <c r="J35" s="29">
        <f>-H35+I35</f>
        <v>-515</v>
      </c>
      <c r="L35" s="26">
        <v>41306</v>
      </c>
      <c r="M35" s="29"/>
      <c r="N35" s="29">
        <f t="shared" si="2"/>
        <v>-90</v>
      </c>
      <c r="O35" s="29">
        <f t="shared" si="3"/>
        <v>-90</v>
      </c>
    </row>
    <row r="36" spans="2:15" x14ac:dyDescent="0.25">
      <c r="B36" s="26">
        <v>41456</v>
      </c>
      <c r="C36" s="29"/>
      <c r="D36" s="29">
        <f>$C$34/4*1.05</f>
        <v>-262.5</v>
      </c>
      <c r="E36" s="29">
        <f>-C36+D36</f>
        <v>-262.5</v>
      </c>
      <c r="L36" s="26">
        <v>41334</v>
      </c>
      <c r="M36" s="29"/>
      <c r="N36" s="29">
        <f t="shared" si="2"/>
        <v>-90</v>
      </c>
      <c r="O36" s="29">
        <f t="shared" si="3"/>
        <v>-90</v>
      </c>
    </row>
    <row r="37" spans="2:15" x14ac:dyDescent="0.25">
      <c r="B37" s="26">
        <v>41548</v>
      </c>
      <c r="C37" s="29"/>
      <c r="D37" s="29">
        <f>$C$34/4*1.05</f>
        <v>-262.5</v>
      </c>
      <c r="E37" s="29">
        <f>-C37+D37</f>
        <v>-262.5</v>
      </c>
      <c r="I37" s="3" t="s">
        <v>32</v>
      </c>
      <c r="J37" s="45">
        <f>XIRR(J34:J36,G34:G36)</f>
        <v>0.12865967154502864</v>
      </c>
      <c r="L37" s="26">
        <v>41365</v>
      </c>
      <c r="M37" s="29"/>
      <c r="N37" s="29">
        <f t="shared" si="2"/>
        <v>-90</v>
      </c>
      <c r="O37" s="29">
        <f t="shared" si="3"/>
        <v>-90</v>
      </c>
    </row>
    <row r="38" spans="2:15" x14ac:dyDescent="0.25">
      <c r="L38" s="26">
        <v>41395</v>
      </c>
      <c r="M38" s="29"/>
      <c r="N38" s="29">
        <f t="shared" si="2"/>
        <v>-90</v>
      </c>
      <c r="O38" s="29">
        <f t="shared" si="3"/>
        <v>-90</v>
      </c>
    </row>
    <row r="39" spans="2:15" x14ac:dyDescent="0.25">
      <c r="D39" s="3" t="s">
        <v>32</v>
      </c>
      <c r="E39" s="45">
        <f>XIRR(E34:E37,B34:B37)</f>
        <v>1.8923452496528628E-2</v>
      </c>
      <c r="L39" s="26">
        <v>41426</v>
      </c>
      <c r="M39" s="29"/>
      <c r="N39" s="29">
        <f t="shared" si="2"/>
        <v>-90</v>
      </c>
      <c r="O39" s="29">
        <f t="shared" si="3"/>
        <v>-90</v>
      </c>
    </row>
    <row r="40" spans="2:15" x14ac:dyDescent="0.25">
      <c r="L40" s="26">
        <v>41456</v>
      </c>
      <c r="M40" s="29"/>
      <c r="N40" s="29">
        <f t="shared" si="2"/>
        <v>-90</v>
      </c>
      <c r="O40" s="29">
        <f t="shared" si="3"/>
        <v>-90</v>
      </c>
    </row>
    <row r="41" spans="2:15" x14ac:dyDescent="0.25">
      <c r="L41" s="26">
        <v>41487</v>
      </c>
      <c r="M41" s="29"/>
      <c r="N41" s="29">
        <f t="shared" si="2"/>
        <v>-90</v>
      </c>
      <c r="O41" s="29">
        <f t="shared" si="3"/>
        <v>-90</v>
      </c>
    </row>
    <row r="42" spans="2:15" x14ac:dyDescent="0.25">
      <c r="L42" s="26">
        <v>41518</v>
      </c>
      <c r="M42" s="29"/>
      <c r="N42" s="29">
        <f t="shared" si="2"/>
        <v>-90</v>
      </c>
      <c r="O42" s="29">
        <f t="shared" si="3"/>
        <v>-90</v>
      </c>
    </row>
    <row r="43" spans="2:15" x14ac:dyDescent="0.25">
      <c r="L43" s="26">
        <v>41548</v>
      </c>
      <c r="M43" s="29"/>
      <c r="N43" s="29">
        <f t="shared" si="2"/>
        <v>-90</v>
      </c>
      <c r="O43" s="29">
        <f t="shared" si="3"/>
        <v>-90</v>
      </c>
    </row>
    <row r="44" spans="2:15" x14ac:dyDescent="0.25">
      <c r="L44" s="26">
        <v>41579</v>
      </c>
      <c r="M44" s="29"/>
      <c r="N44" s="29">
        <f t="shared" si="2"/>
        <v>-90</v>
      </c>
      <c r="O44" s="29">
        <f t="shared" si="3"/>
        <v>-90</v>
      </c>
    </row>
    <row r="45" spans="2:15" x14ac:dyDescent="0.25">
      <c r="L45" s="26">
        <v>41609</v>
      </c>
      <c r="M45" s="29"/>
      <c r="N45" s="29">
        <f t="shared" si="2"/>
        <v>-90</v>
      </c>
      <c r="O45" s="29">
        <f t="shared" si="3"/>
        <v>-90</v>
      </c>
    </row>
    <row r="47" spans="2:15" x14ac:dyDescent="0.25">
      <c r="N47" s="3" t="s">
        <v>32</v>
      </c>
      <c r="O47" s="45">
        <f>XIRR(O34:O45,L34:L45)</f>
        <v>0.18693807721138</v>
      </c>
    </row>
  </sheetData>
  <mergeCells count="1">
    <mergeCell ref="G12:H12"/>
  </mergeCells>
  <phoneticPr fontId="0" type="noConversion"/>
  <pageMargins left="0.79" right="0.79" top="0.98" bottom="0.98" header="0.49" footer="0.49"/>
  <pageSetup paperSize="9" orientation="portrait" horizontalDpi="4294967295" verticalDpi="0"/>
  <headerFooter alignWithMargins="0">
    <oddHeader>&amp;L&amp;F, &amp;A&amp;RSeite &amp;P</oddHeader>
    <oddFooter>&amp;LCopyRight Dr. Eckehard Pfeifer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B2:H30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15.7109375" style="2" customWidth="1"/>
    <col min="3" max="6" width="13.140625" style="2" customWidth="1"/>
    <col min="7" max="16384" width="11.42578125" style="2"/>
  </cols>
  <sheetData>
    <row r="2" spans="2:8" x14ac:dyDescent="0.25">
      <c r="B2" s="20" t="s">
        <v>48</v>
      </c>
      <c r="C2" s="21">
        <v>0.1</v>
      </c>
    </row>
    <row r="3" spans="2:8" x14ac:dyDescent="0.25">
      <c r="B3" s="22"/>
      <c r="F3" s="23"/>
    </row>
    <row r="4" spans="2:8" x14ac:dyDescent="0.25">
      <c r="B4" s="24" t="s">
        <v>34</v>
      </c>
      <c r="C4" s="25" t="s">
        <v>49</v>
      </c>
      <c r="D4" s="25" t="s">
        <v>50</v>
      </c>
      <c r="E4" s="25" t="s">
        <v>51</v>
      </c>
      <c r="F4" s="25" t="s">
        <v>47</v>
      </c>
    </row>
    <row r="5" spans="2:8" x14ac:dyDescent="0.25">
      <c r="B5" s="26">
        <v>41396</v>
      </c>
      <c r="C5" s="6">
        <v>700</v>
      </c>
      <c r="D5" s="27">
        <v>5.0000000000000001E-3</v>
      </c>
      <c r="E5" s="28">
        <v>14</v>
      </c>
      <c r="F5" s="29">
        <f>-C5*(1-D5)</f>
        <v>-696.5</v>
      </c>
      <c r="G5" s="30"/>
      <c r="H5" s="31"/>
    </row>
    <row r="6" spans="2:8" x14ac:dyDescent="0.25">
      <c r="B6" s="26">
        <f>B5+E5</f>
        <v>41410</v>
      </c>
      <c r="C6" s="12"/>
      <c r="D6" s="12"/>
      <c r="E6" s="12"/>
      <c r="F6" s="29">
        <f>C5</f>
        <v>700</v>
      </c>
      <c r="G6" s="30"/>
      <c r="H6" s="31"/>
    </row>
    <row r="7" spans="2:8" x14ac:dyDescent="0.25">
      <c r="B7" s="26">
        <v>41489</v>
      </c>
      <c r="C7" s="6">
        <v>300</v>
      </c>
      <c r="D7" s="27">
        <v>0.01</v>
      </c>
      <c r="E7" s="28">
        <v>28</v>
      </c>
      <c r="F7" s="29">
        <f>-C7*(1-D7)</f>
        <v>-297</v>
      </c>
      <c r="G7" s="30"/>
      <c r="H7" s="31"/>
    </row>
    <row r="8" spans="2:8" x14ac:dyDescent="0.25">
      <c r="B8" s="26">
        <f>B7+E7</f>
        <v>41517</v>
      </c>
      <c r="C8" s="12"/>
      <c r="D8" s="12"/>
      <c r="E8" s="12"/>
      <c r="F8" s="29">
        <f>C7</f>
        <v>300</v>
      </c>
      <c r="G8" s="30"/>
      <c r="H8" s="31"/>
    </row>
    <row r="9" spans="2:8" x14ac:dyDescent="0.25">
      <c r="B9" s="26">
        <v>41585</v>
      </c>
      <c r="C9" s="6">
        <v>250</v>
      </c>
      <c r="D9" s="27">
        <v>0.02</v>
      </c>
      <c r="E9" s="28">
        <v>60</v>
      </c>
      <c r="F9" s="29">
        <f>-C9*(1-D9)</f>
        <v>-245</v>
      </c>
      <c r="G9" s="30"/>
      <c r="H9" s="31"/>
    </row>
    <row r="10" spans="2:8" x14ac:dyDescent="0.25">
      <c r="B10" s="26">
        <f>B9+E9</f>
        <v>41645</v>
      </c>
      <c r="C10" s="12"/>
      <c r="D10" s="12"/>
      <c r="E10" s="12"/>
      <c r="F10" s="29">
        <f>C9</f>
        <v>250</v>
      </c>
      <c r="G10" s="30"/>
    </row>
    <row r="11" spans="2:8" x14ac:dyDescent="0.25">
      <c r="G11" s="31"/>
    </row>
    <row r="12" spans="2:8" x14ac:dyDescent="0.25">
      <c r="B12" s="32" t="s">
        <v>39</v>
      </c>
      <c r="C12" s="33">
        <f>XNPV(C2,F5:F10,B5:B10)</f>
        <v>2.8007145248841141</v>
      </c>
    </row>
    <row r="14" spans="2:8" x14ac:dyDescent="0.25">
      <c r="B14" s="3" t="s">
        <v>15</v>
      </c>
      <c r="C14" s="34">
        <f>XIRR(F5:F10,B5:B10)</f>
        <v>0.13584286570549015</v>
      </c>
    </row>
    <row r="30" spans="8:8" x14ac:dyDescent="0.25">
      <c r="H30" s="35"/>
    </row>
  </sheetData>
  <phoneticPr fontId="0" type="noConversion"/>
  <pageMargins left="0.79" right="0.79" top="0.98" bottom="0.98" header="0.49" footer="0.49"/>
  <pageSetup paperSize="9" orientation="portrait" horizontalDpi="4294967295" verticalDpi="0" r:id="rId1"/>
  <headerFooter alignWithMargins="0">
    <oddHeader>&amp;L&amp;F, &amp;A&amp;RSeite &amp;P</oddHeader>
    <oddFooter>&amp;LCopyRight Dr. Eckehard Pfeifer &amp;D</oddFooter>
  </headerFooter>
  <ignoredErrors>
    <ignoredError sqref="F6 F8 F7 F9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Button 3">
              <controlPr defaultSize="0" print="0" autoFill="0" autoLine="0" autoPict="0" macro="[0]!Zielwertsuche">
                <anchor moveWithCells="1" sizeWithCells="1">
                  <from>
                    <xdr:col>4</xdr:col>
                    <xdr:colOff>0</xdr:colOff>
                    <xdr:row>0</xdr:row>
                    <xdr:rowOff>0</xdr:rowOff>
                  </from>
                  <to>
                    <xdr:col>4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IKV</vt:lpstr>
      <vt:lpstr>NBW</vt:lpstr>
      <vt:lpstr>QIKV</vt:lpstr>
      <vt:lpstr>XINTZINSFUSS</vt:lpstr>
      <vt:lpstr>XKAPITALWERT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Investitionsrechnung</dc:title>
  <dc:subject>Excel Maxibuch</dc:subject>
  <dc:creator>Dr. Eckehard Pfeifer</dc:creator>
  <cp:lastModifiedBy>Dr. Eckehard Pfeifer</cp:lastModifiedBy>
  <dcterms:created xsi:type="dcterms:W3CDTF">2010-08-13T12:00:00Z</dcterms:created>
  <dcterms:modified xsi:type="dcterms:W3CDTF">2013-01-30T16:27:03Z</dcterms:modified>
</cp:coreProperties>
</file>